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6090" tabRatio="676" activeTab="0"/>
  </bookViews>
  <sheets>
    <sheet name="Note esplicative" sheetId="1" r:id="rId1"/>
    <sheet name="GRIGLIA" sheetId="2" r:id="rId2"/>
    <sheet name="PROVA" sheetId="3" r:id="rId3"/>
    <sheet name="GIUDIZI" sheetId="4" r:id="rId4"/>
  </sheets>
  <definedNames>
    <definedName name="_xlnm.Print_Area" localSheetId="1">'GRIGLIA'!$B$2:$H$24</definedName>
    <definedName name="_xlnm.Print_Area" localSheetId="0">'Note esplicative'!$A$1:$O$30</definedName>
    <definedName name="_xlnm.Print_Area" localSheetId="2">'PROVA'!$A$1:$V$31</definedName>
    <definedName name="GIUDIZIA" localSheetId="3">'GIUDIZI'!$D$77:$W$81</definedName>
    <definedName name="GIUDIZIA">'PROVA'!$D$78:$W$82</definedName>
    <definedName name="GIUDIZIV1Q1">#REF!</definedName>
    <definedName name="GIUDIZIV1Q2">#REF!</definedName>
    <definedName name="GIUDIZIV2Q1">#REF!</definedName>
    <definedName name="GIUDIZIV2Q2">#REF!</definedName>
    <definedName name="GIUDIZIV3Q1">#REF!</definedName>
    <definedName name="GIUDIZIV3Q2">#REF!</definedName>
    <definedName name="GIUDIZIV4Q1">#REF!</definedName>
    <definedName name="GIUDIZIV5Q2">#REF!</definedName>
    <definedName name="GPROVA2Q1">#REF!</definedName>
    <definedName name="SCELTAV1Q1">'PROVA'!$D$71:$V$75</definedName>
    <definedName name="SCELTAV2Q1">#REF!</definedName>
    <definedName name="SPROVA2Q1">#REF!</definedName>
    <definedName name="_xlnm.Print_Titles" localSheetId="3">'GIUDIZI'!$A:$D,'GIUDIZI'!$1:$3</definedName>
    <definedName name="_xlnm.Print_Titles" localSheetId="2">'PROVA'!$A:$D</definedName>
  </definedNames>
  <calcPr fullCalcOnLoad="1"/>
</workbook>
</file>

<file path=xl/comments3.xml><?xml version="1.0" encoding="utf-8"?>
<comments xmlns="http://schemas.openxmlformats.org/spreadsheetml/2006/main">
  <authors>
    <author>Carla Stefani</author>
  </authors>
  <commentList>
    <comment ref="E71" authorId="0">
      <text>
        <r>
          <rPr>
            <b/>
            <sz val="8"/>
            <rFont val="Tahoma"/>
            <family val="0"/>
          </rPr>
          <t>Carla Stefani:</t>
        </r>
        <r>
          <rPr>
            <sz val="8"/>
            <rFont val="Tahoma"/>
            <family val="0"/>
          </rPr>
          <t xml:space="preserve">
Dopo aver indicato S nella cella C8 del foglio GRIGLIA riportare il punteggio solo in corrispondenza della risposta esatta.
</t>
        </r>
      </text>
    </comment>
    <comment ref="A36" authorId="0">
      <text>
        <r>
          <rPr>
            <b/>
            <sz val="8"/>
            <rFont val="Tahoma"/>
            <family val="0"/>
          </rPr>
          <t>Carla Stefani:</t>
        </r>
        <r>
          <rPr>
            <sz val="8"/>
            <rFont val="Tahoma"/>
            <family val="0"/>
          </rPr>
          <t xml:space="preserve">
dalla riga 37 del foglio vengono eseguiti i calcoli dei punteggi totali per ogni studente.
Le formule tengono conto del tipo di valutazione indicato nella cella C8 del foglio GRIGLIA: G (giudizi B, M, S, E e N), S (scelte A, B, C, D e N) e P (valutazione per quantità).
</t>
        </r>
      </text>
    </comment>
    <comment ref="X90" authorId="0">
      <text>
        <r>
          <rPr>
            <b/>
            <sz val="8"/>
            <rFont val="Tahoma"/>
            <family val="0"/>
          </rPr>
          <t>Carla Stefani:</t>
        </r>
        <r>
          <rPr>
            <sz val="8"/>
            <rFont val="Tahoma"/>
            <family val="0"/>
          </rPr>
          <t xml:space="preserve">
punteggio massimo attribuito alla prova.</t>
        </r>
      </text>
    </comment>
    <comment ref="AB37" authorId="0">
      <text>
        <r>
          <rPr>
            <b/>
            <sz val="8"/>
            <rFont val="Tahoma"/>
            <family val="0"/>
          </rPr>
          <t xml:space="preserve">Gianpaolo Tacconi:
</t>
        </r>
        <r>
          <rPr>
            <sz val="8"/>
            <rFont val="Tahoma"/>
            <family val="2"/>
          </rPr>
          <t>Trasformazione con scalatura dei voti che tiene conto della normativa che pone la sufficienza a 10/15mi e 22/35mi</t>
        </r>
        <r>
          <rPr>
            <sz val="8"/>
            <rFont val="Tahoma"/>
            <family val="0"/>
          </rPr>
          <t xml:space="preserve">
</t>
        </r>
      </text>
    </comment>
    <comment ref="AC13" authorId="0">
      <text>
        <r>
          <rPr>
            <b/>
            <sz val="8"/>
            <rFont val="Tahoma"/>
            <family val="0"/>
          </rPr>
          <t>Gianpaolo Tacconi:</t>
        </r>
        <r>
          <rPr>
            <sz val="8"/>
            <rFont val="Tahoma"/>
            <family val="0"/>
          </rPr>
          <t xml:space="preserve">
L'intervallo dei punteggi viene calcolato dividendo il totale dei punti per il totale dei dati presenti nella zona AB13:AB53</t>
        </r>
      </text>
    </comment>
  </commentList>
</comments>
</file>

<file path=xl/sharedStrings.xml><?xml version="1.0" encoding="utf-8"?>
<sst xmlns="http://schemas.openxmlformats.org/spreadsheetml/2006/main" count="700" uniqueCount="156">
  <si>
    <t>VALUTAZIONI</t>
  </si>
  <si>
    <t>T.</t>
  </si>
  <si>
    <t>P.</t>
  </si>
  <si>
    <t>negativo</t>
  </si>
  <si>
    <t>grav.ins.</t>
  </si>
  <si>
    <t>insuff.</t>
  </si>
  <si>
    <t>suff</t>
  </si>
  <si>
    <t>discreto</t>
  </si>
  <si>
    <t>buono</t>
  </si>
  <si>
    <t>ottimo</t>
  </si>
  <si>
    <t>S</t>
  </si>
  <si>
    <t>G</t>
  </si>
  <si>
    <t>P</t>
  </si>
  <si>
    <t>minimo</t>
  </si>
  <si>
    <t>media</t>
  </si>
  <si>
    <t>A</t>
  </si>
  <si>
    <t>B</t>
  </si>
  <si>
    <t>M</t>
  </si>
  <si>
    <t>C</t>
  </si>
  <si>
    <t>D</t>
  </si>
  <si>
    <t>E</t>
  </si>
  <si>
    <t>N</t>
  </si>
  <si>
    <t>PUNTEGGI</t>
  </si>
  <si>
    <t xml:space="preserve">n. max </t>
  </si>
  <si>
    <t>punteggio max</t>
  </si>
  <si>
    <t>massimo</t>
  </si>
  <si>
    <t>ANALISI RISULTATI</t>
  </si>
  <si>
    <t>in %</t>
  </si>
  <si>
    <t>TEMPO FINALE</t>
  </si>
  <si>
    <t xml:space="preserve">Compito del </t>
  </si>
  <si>
    <t>SCELTAV1Q1</t>
  </si>
  <si>
    <t>studente1</t>
  </si>
  <si>
    <t>studente2</t>
  </si>
  <si>
    <t>studente3</t>
  </si>
  <si>
    <t>studente4</t>
  </si>
  <si>
    <t>studente5</t>
  </si>
  <si>
    <t>studente6</t>
  </si>
  <si>
    <t>studente7</t>
  </si>
  <si>
    <t>studente8</t>
  </si>
  <si>
    <t>studente9</t>
  </si>
  <si>
    <t>studente10</t>
  </si>
  <si>
    <t>studente11</t>
  </si>
  <si>
    <t>studente12</t>
  </si>
  <si>
    <t>studente13</t>
  </si>
  <si>
    <t>studente14</t>
  </si>
  <si>
    <t>studente15</t>
  </si>
  <si>
    <t>studente16</t>
  </si>
  <si>
    <t>studente17</t>
  </si>
  <si>
    <t>studente18</t>
  </si>
  <si>
    <t>studente19</t>
  </si>
  <si>
    <t>studente20</t>
  </si>
  <si>
    <t>studente21</t>
  </si>
  <si>
    <t>studente22</t>
  </si>
  <si>
    <t>studente23</t>
  </si>
  <si>
    <t>studente24</t>
  </si>
  <si>
    <t>studente25</t>
  </si>
  <si>
    <t>studente26</t>
  </si>
  <si>
    <t>studente27</t>
  </si>
  <si>
    <t>SCUOLA….</t>
  </si>
  <si>
    <t>Classe</t>
  </si>
  <si>
    <t>Data</t>
  </si>
  <si>
    <t>1° quesito:</t>
  </si>
  <si>
    <t>2° quesito:</t>
  </si>
  <si>
    <t>3° quesito:</t>
  </si>
  <si>
    <t>GRIGLIA DI VERIFICA E VALUTAZIONE</t>
  </si>
  <si>
    <t>CRITERI</t>
  </si>
  <si>
    <t>PUNTEGGIO</t>
  </si>
  <si>
    <t>ESPRESSIONE</t>
  </si>
  <si>
    <t>si esprime con linguaggio</t>
  </si>
  <si>
    <t>adeguato, ricco, fluido</t>
  </si>
  <si>
    <t>corretta e adeguato</t>
  </si>
  <si>
    <t>non sempre corretta e appropriato</t>
  </si>
  <si>
    <t>spesso scorretto o   inadeguato</t>
  </si>
  <si>
    <t>sempre scorretto o inadeguato</t>
  </si>
  <si>
    <t>ESPOSIZIONE</t>
  </si>
  <si>
    <t>articola il discorso in modo</t>
  </si>
  <si>
    <t>adeguato, ricco, organico</t>
  </si>
  <si>
    <t>semplice ma coerente</t>
  </si>
  <si>
    <t>talvolta poco coerente</t>
  </si>
  <si>
    <t>spesso incoerente</t>
  </si>
  <si>
    <t>sempre incoerente</t>
  </si>
  <si>
    <t>CONOSCENZE</t>
  </si>
  <si>
    <t>conosce i temi proposti in modo</t>
  </si>
  <si>
    <t>ampio  e approfondito</t>
  </si>
  <si>
    <t>corretto ma limitato al manuale</t>
  </si>
  <si>
    <t>quasi sempre corretto, con alcune imprecisioni o lacune</t>
  </si>
  <si>
    <t>solo parziale e non sempre corretto</t>
  </si>
  <si>
    <t>lacunoso e scorretto</t>
  </si>
  <si>
    <t>COMPETENZE DI ANALISI</t>
  </si>
  <si>
    <t>sa / non sa analizzare</t>
  </si>
  <si>
    <t>sa analizzare i vari aspetti significativi del problema posto</t>
  </si>
  <si>
    <t>sa analizzare alcuni aspetti significativi del problema posto</t>
  </si>
  <si>
    <t>sa analizzare pochi aspetti significativi del problema posto</t>
  </si>
  <si>
    <t>non sa analizzare gli aspetti significativi del problema posto</t>
  </si>
  <si>
    <t>non sa individuare gli aspetti significativi del problema posto</t>
  </si>
  <si>
    <t>COMPETENZE DI SINTESI</t>
  </si>
  <si>
    <t>sa / non sa individuare</t>
  </si>
  <si>
    <t>sa individuare concetti chiave e stabilire efficaci collegamenti</t>
  </si>
  <si>
    <t>sa individuare i concetti chiave e stabilire semplici collegamenti</t>
  </si>
  <si>
    <t>sa individuare i concetti chiave ma solo saltuariamente collegarli</t>
  </si>
  <si>
    <t>sa individuare i concetti chiave ma non collegarli</t>
  </si>
  <si>
    <t>non sa individuare i concetti chiave</t>
  </si>
  <si>
    <t>CAPACITA' DI VALUTAZIONE</t>
  </si>
  <si>
    <t>esprime / non esprime giudizi</t>
  </si>
  <si>
    <t>esprime giudizi adeguati e li argomenta efficacemente</t>
  </si>
  <si>
    <t>esprime giudizi adeguati ma non sempre li argomenta efficacemente</t>
  </si>
  <si>
    <t>esprime giudizi non sempre adeguati al tema proposto, e li argomenta poco efficacemente</t>
  </si>
  <si>
    <t>esprime giudizi in forma definitoria e senza argomentazioni</t>
  </si>
  <si>
    <t>non esprime giudizi personali</t>
  </si>
  <si>
    <t>1° quesito</t>
  </si>
  <si>
    <t>2° quesito</t>
  </si>
  <si>
    <t>3° quesito</t>
  </si>
  <si>
    <t>espressione</t>
  </si>
  <si>
    <t>esposizione</t>
  </si>
  <si>
    <t>conoscenze</t>
  </si>
  <si>
    <t>competenze di sintesi</t>
  </si>
  <si>
    <t>capacità di valutazione</t>
  </si>
  <si>
    <t>GIUDIZIA</t>
  </si>
  <si>
    <t>competenze di analisi</t>
  </si>
  <si>
    <t>TOT. PUNTI</t>
  </si>
  <si>
    <t>%</t>
  </si>
  <si>
    <t>VOTO IN DEC</t>
  </si>
  <si>
    <t>VOTO IN DECIMI</t>
  </si>
  <si>
    <t>per questito</t>
  </si>
  <si>
    <t>Voto</t>
  </si>
  <si>
    <t>Il documento contiene i fogli:</t>
  </si>
  <si>
    <t>dove vengono effettuati i conteggi sulla base dei punteggi indicati nella griglia.</t>
  </si>
  <si>
    <t>Punteggio</t>
  </si>
  <si>
    <t>indicando, nelle celle delle zone colorate:</t>
  </si>
  <si>
    <t xml:space="preserve">GRIGLIA - </t>
  </si>
  <si>
    <t xml:space="preserve">Qui vengono esplicitati: </t>
  </si>
  <si>
    <t>Punteggio massimo del test</t>
  </si>
  <si>
    <t>VOTO IN QUIND.(*)</t>
  </si>
  <si>
    <t>VOTO IN TRENT.(*)</t>
  </si>
  <si>
    <t>PROVA -</t>
  </si>
  <si>
    <t>GIUDIZI -</t>
  </si>
  <si>
    <t>ALUNNO</t>
  </si>
  <si>
    <t>VOTO IN 15mi</t>
  </si>
  <si>
    <t>VOTO IN 35mi</t>
  </si>
  <si>
    <t>Il presente modello di calcolo serve per effettuare verifiche e valutazioni sul profitto conseguito dagli alunni. Possono essere definiti gli elementi da verificare e la loro modalità di misura o di valutazione.</t>
  </si>
  <si>
    <t>TIPO QUESITO:</t>
  </si>
  <si>
    <r>
      <t>(Immettere "</t>
    </r>
    <r>
      <rPr>
        <b/>
        <sz val="12"/>
        <rFont val="Arial Narrow"/>
        <family val="2"/>
      </rPr>
      <t>G</t>
    </r>
    <r>
      <rPr>
        <sz val="10"/>
        <rFont val="Arial Narrow"/>
        <family val="2"/>
      </rPr>
      <t>" per quesiti aperti oppure "</t>
    </r>
    <r>
      <rPr>
        <b/>
        <sz val="12"/>
        <rFont val="Arial Narrow"/>
        <family val="2"/>
      </rPr>
      <t>S</t>
    </r>
    <r>
      <rPr>
        <sz val="10"/>
        <rFont val="Arial Narrow"/>
        <family val="2"/>
      </rPr>
      <t>" per quesiti a risposta multipla fino a</t>
    </r>
    <r>
      <rPr>
        <b/>
        <sz val="10"/>
        <rFont val="Arial Narrow"/>
        <family val="2"/>
      </rPr>
      <t xml:space="preserve"> 5</t>
    </r>
    <r>
      <rPr>
        <sz val="10"/>
        <rFont val="Arial Narrow"/>
        <family val="2"/>
      </rPr>
      <t xml:space="preserve"> opzioni)</t>
    </r>
  </si>
  <si>
    <t>VERIFICA E VALUTAZIONE DEL PROFITTO</t>
  </si>
  <si>
    <t>per i quesiti di tipo "S", che corrisponderanno ai valori indicati nella griglia.</t>
  </si>
  <si>
    <t>dove vengono riportati i giudizi dettagliati per ogni studente, riportati nella GRIGLIA.</t>
  </si>
  <si>
    <t>I REDATTORI</t>
  </si>
  <si>
    <t>Prof.  Giampaolo Tacconi - Perugia - gitac@libero.it</t>
  </si>
  <si>
    <t>Prof. Carla Stefani - Vicenza - carstefani@inwind.it</t>
  </si>
  <si>
    <r>
      <t xml:space="preserve">  - </t>
    </r>
    <r>
      <rPr>
        <b/>
        <sz val="10"/>
        <color indexed="8"/>
        <rFont val="Arial"/>
        <family val="2"/>
      </rPr>
      <t>i quesiti</t>
    </r>
    <r>
      <rPr>
        <sz val="10"/>
        <color indexed="8"/>
        <rFont val="Arial"/>
        <family val="2"/>
      </rPr>
      <t xml:space="preserve"> che possono essere verificati con identici criteri di valutazione. Il modello è attualmente dimensionato per tre quesiti.</t>
    </r>
  </si>
  <si>
    <r>
      <t xml:space="preserve">  - </t>
    </r>
    <r>
      <rPr>
        <b/>
        <sz val="10"/>
        <color indexed="8"/>
        <rFont val="Arial"/>
        <family val="2"/>
      </rPr>
      <t>il tipo di quesito</t>
    </r>
    <r>
      <rPr>
        <sz val="10"/>
        <color indexed="8"/>
        <rFont val="Arial"/>
        <family val="2"/>
      </rPr>
      <t xml:space="preserve"> che può essere di tipo a risposta aperta con voto e/o giudizio (</t>
    </r>
    <r>
      <rPr>
        <b/>
        <sz val="12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) oppure a risposta multipla fino a 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opzioni (</t>
    </r>
    <r>
      <rPr>
        <b/>
        <sz val="12"/>
        <color indexed="8"/>
        <rFont val="Arial"/>
        <family val="2"/>
      </rPr>
      <t>S</t>
    </r>
    <r>
      <rPr>
        <sz val="10"/>
        <color indexed="8"/>
        <rFont val="Arial"/>
        <family val="2"/>
      </rPr>
      <t>)</t>
    </r>
  </si>
  <si>
    <r>
      <t xml:space="preserve"> </t>
    </r>
    <r>
      <rPr>
        <b/>
        <sz val="10"/>
        <color indexed="8"/>
        <rFont val="Arial"/>
        <family val="2"/>
      </rPr>
      <t xml:space="preserve"> - gli elementi </t>
    </r>
    <r>
      <rPr>
        <sz val="10"/>
        <color indexed="8"/>
        <rFont val="Arial"/>
        <family val="2"/>
      </rPr>
      <t xml:space="preserve">che saranno oggetto di verifica. Nel nostro caso, per i quesiti "G", sono </t>
    </r>
    <r>
      <rPr>
        <b/>
        <i/>
        <sz val="10"/>
        <color indexed="8"/>
        <rFont val="Arial"/>
        <family val="2"/>
      </rPr>
      <t xml:space="preserve">ESPRESSIONE, ESPOSIZIONE , CONOSCENZE, COMPETENZE DI ANALISI, COMPETENZE DI SINTESI </t>
    </r>
    <r>
      <rPr>
        <sz val="10"/>
        <color indexed="8"/>
        <rFont val="Arial"/>
        <family val="2"/>
      </rPr>
      <t>e</t>
    </r>
    <r>
      <rPr>
        <b/>
        <i/>
        <sz val="10"/>
        <color indexed="8"/>
        <rFont val="Arial"/>
        <family val="2"/>
      </rPr>
      <t xml:space="preserve"> CAPACITA' DI VALUTAZIONE.</t>
    </r>
    <r>
      <rPr>
        <sz val="10"/>
        <color indexed="8"/>
        <rFont val="Arial"/>
        <family val="2"/>
      </rPr>
      <t xml:space="preserve"> E' evidente che questi elementi possono variare in funzione del tipo di verifica necessaria al momento. Per i quesiti "S" si possono definire altri elementi.</t>
    </r>
  </si>
  <si>
    <r>
      <t xml:space="preserve"> </t>
    </r>
    <r>
      <rPr>
        <b/>
        <sz val="10"/>
        <color indexed="8"/>
        <rFont val="Arial"/>
        <family val="2"/>
      </rPr>
      <t xml:space="preserve"> - le modalità </t>
    </r>
    <r>
      <rPr>
        <sz val="10"/>
        <color indexed="8"/>
        <rFont val="Arial"/>
        <family val="2"/>
      </rPr>
      <t xml:space="preserve">con cui saranno sondati e misurati gli elementi oggetto di verifica. Saranno esplicati i vari livelli di sondaggio attribuendo a questi sia un giudizio che un punteggio. Nel modello proposto il punteggio massimo è posto nella casella degli elementi e vale </t>
    </r>
    <r>
      <rPr>
        <b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. I livelli intermedi sono calcolati al </t>
    </r>
    <r>
      <rPr>
        <b/>
        <sz val="10"/>
        <color indexed="8"/>
        <rFont val="Arial"/>
        <family val="2"/>
      </rPr>
      <t>75%, 50%, 25%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. Anche in questo caso nulla vieta di variare sia il punteggio massimo (10, 15, 35, 100, ....), che i pesi intermedi di ogni elemento di verifica. Il calcolo finale sarà comunque eseguito in decimi, quindicesimi e trentacinquesimi.</t>
    </r>
  </si>
  <si>
    <t>Per ogni studente e per ogni quesito è necessario specificare il giudizio</t>
  </si>
  <si>
    <t xml:space="preserve">per i quesiti di tipo "G", oppure lettera corrispondente alla risposta corretta </t>
  </si>
  <si>
    <t>Il foglio è protetto per evitare modifiche involontarie, ma può essere facilmente variato secondo le necessità dei singoli docenti.</t>
  </si>
  <si>
    <t>CONTEGGI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</si>
</sst>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General_);[Red]\-General_)"/>
    <numFmt numFmtId="177" formatCode="General_)"/>
    <numFmt numFmtId="178" formatCode="_-* #,##0.0_-;\-* #,##0.0_-;_-* &quot;-&quot;_-;_-@_-"/>
    <numFmt numFmtId="179" formatCode="0_ ;\-0\ "/>
    <numFmt numFmtId="180" formatCode="0.0"/>
    <numFmt numFmtId="181" formatCode="0.0_ ;\-0.0\ "/>
    <numFmt numFmtId="182" formatCode="0.00_ ;\-0.00\ "/>
    <numFmt numFmtId="183" formatCode="_-* #,##0.00_-;\-* #,##0.00_-;_-* &quot;-&quot;_-;_-@_-"/>
    <numFmt numFmtId="184" formatCode="0.00_ ;[Red]\-0.00\ "/>
    <numFmt numFmtId="185" formatCode="d/m/yy"/>
  </numFmts>
  <fonts count="37">
    <font>
      <sz val="10"/>
      <name val="Times New Roman"/>
      <family val="0"/>
    </font>
    <font>
      <b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Times New Roman"/>
      <family val="1"/>
    </font>
    <font>
      <sz val="7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indexed="9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7"/>
      <name val="Arial Narrow"/>
      <family val="2"/>
    </font>
    <font>
      <b/>
      <sz val="8"/>
      <name val="Helv"/>
      <family val="0"/>
    </font>
    <font>
      <b/>
      <sz val="10"/>
      <name val="Times New Roman"/>
      <family val="0"/>
    </font>
    <font>
      <b/>
      <sz val="16"/>
      <name val="Arial Narrow"/>
      <family val="2"/>
    </font>
    <font>
      <b/>
      <sz val="12"/>
      <color indexed="41"/>
      <name val="Helv"/>
      <family val="0"/>
    </font>
    <font>
      <b/>
      <sz val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177" fontId="1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left"/>
      <protection/>
    </xf>
    <xf numFmtId="0" fontId="3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9" fontId="0" fillId="0" borderId="0" xfId="19" applyAlignment="1">
      <alignment/>
    </xf>
    <xf numFmtId="0" fontId="2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7" fillId="0" borderId="1" xfId="0" applyNumberFormat="1" applyFont="1" applyBorder="1" applyAlignment="1" applyProtection="1">
      <alignment horizontal="center" vertical="center" wrapText="1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 horizontal="left"/>
      <protection/>
    </xf>
    <xf numFmtId="179" fontId="0" fillId="0" borderId="0" xfId="0" applyNumberFormat="1" applyAlignment="1" applyProtection="1">
      <alignment horizontal="left"/>
      <protection/>
    </xf>
    <xf numFmtId="183" fontId="9" fillId="0" borderId="0" xfId="18" applyNumberFormat="1" applyFont="1" applyAlignment="1" applyProtection="1">
      <alignment/>
      <protection/>
    </xf>
    <xf numFmtId="0" fontId="11" fillId="0" borderId="0" xfId="0" applyFont="1" applyAlignment="1">
      <alignment/>
    </xf>
    <xf numFmtId="14" fontId="1" fillId="0" borderId="0" xfId="0" applyNumberFormat="1" applyFont="1" applyAlignment="1" applyProtection="1">
      <alignment horizontal="left"/>
      <protection/>
    </xf>
    <xf numFmtId="9" fontId="0" fillId="0" borderId="0" xfId="19" applyAlignment="1" applyProtection="1">
      <alignment/>
      <protection/>
    </xf>
    <xf numFmtId="41" fontId="0" fillId="0" borderId="0" xfId="18" applyFont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79" fontId="1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ont="1" applyBorder="1" applyAlignment="1" applyProtection="1">
      <alignment horizontal="left"/>
      <protection/>
    </xf>
    <xf numFmtId="177" fontId="1" fillId="0" borderId="0" xfId="0" applyNumberFormat="1" applyFont="1" applyBorder="1" applyAlignment="1" applyProtection="1">
      <alignment horizontal="left"/>
      <protection/>
    </xf>
    <xf numFmtId="176" fontId="7" fillId="0" borderId="0" xfId="0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Border="1" applyAlignment="1" applyProtection="1">
      <alignment horizontal="left"/>
      <protection/>
    </xf>
    <xf numFmtId="9" fontId="0" fillId="0" borderId="0" xfId="19" applyBorder="1" applyAlignment="1" applyProtection="1">
      <alignment/>
      <protection/>
    </xf>
    <xf numFmtId="17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13" fillId="0" borderId="0" xfId="0" applyFont="1" applyAlignment="1">
      <alignment/>
    </xf>
    <xf numFmtId="0" fontId="15" fillId="2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6" fillId="4" borderId="4" xfId="0" applyFont="1" applyFill="1" applyBorder="1" applyAlignment="1">
      <alignment vertical="top" wrapText="1"/>
    </xf>
    <xf numFmtId="0" fontId="16" fillId="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77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4" fontId="0" fillId="2" borderId="6" xfId="18" applyNumberFormat="1" applyFill="1" applyBorder="1" applyAlignment="1" applyProtection="1">
      <alignment/>
      <protection/>
    </xf>
    <xf numFmtId="0" fontId="27" fillId="5" borderId="6" xfId="0" applyFont="1" applyFill="1" applyBorder="1" applyAlignment="1" applyProtection="1">
      <alignment horizontal="center" vertical="center"/>
      <protection locked="0"/>
    </xf>
    <xf numFmtId="0" fontId="17" fillId="6" borderId="7" xfId="0" applyFont="1" applyFill="1" applyBorder="1" applyAlignment="1" applyProtection="1">
      <alignment horizontal="center"/>
      <protection locked="0"/>
    </xf>
    <xf numFmtId="0" fontId="13" fillId="6" borderId="6" xfId="0" applyFont="1" applyFill="1" applyBorder="1" applyAlignment="1" applyProtection="1">
      <alignment/>
      <protection locked="0"/>
    </xf>
    <xf numFmtId="0" fontId="17" fillId="6" borderId="6" xfId="0" applyFont="1" applyFill="1" applyBorder="1" applyAlignment="1" applyProtection="1">
      <alignment horizontal="center"/>
      <protection locked="0"/>
    </xf>
    <xf numFmtId="0" fontId="17" fillId="6" borderId="7" xfId="0" applyFont="1" applyFill="1" applyBorder="1" applyAlignment="1" applyProtection="1">
      <alignment vertical="top" wrapText="1"/>
      <protection locked="0"/>
    </xf>
    <xf numFmtId="0" fontId="18" fillId="6" borderId="6" xfId="0" applyFont="1" applyFill="1" applyBorder="1" applyAlignment="1" applyProtection="1">
      <alignment horizontal="left" vertical="top" wrapText="1"/>
      <protection locked="0"/>
    </xf>
    <xf numFmtId="0" fontId="13" fillId="6" borderId="6" xfId="0" applyFont="1" applyFill="1" applyBorder="1" applyAlignment="1" applyProtection="1">
      <alignment horizontal="left" vertical="top" wrapText="1"/>
      <protection locked="0"/>
    </xf>
    <xf numFmtId="0" fontId="17" fillId="7" borderId="7" xfId="0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 applyProtection="1">
      <alignment/>
      <protection locked="0"/>
    </xf>
    <xf numFmtId="0" fontId="17" fillId="7" borderId="6" xfId="0" applyFont="1" applyFill="1" applyBorder="1" applyAlignment="1" applyProtection="1">
      <alignment horizontal="center"/>
      <protection locked="0"/>
    </xf>
    <xf numFmtId="0" fontId="17" fillId="7" borderId="7" xfId="0" applyFont="1" applyFill="1" applyBorder="1" applyAlignment="1" applyProtection="1">
      <alignment vertical="top" wrapText="1"/>
      <protection locked="0"/>
    </xf>
    <xf numFmtId="0" fontId="18" fillId="7" borderId="6" xfId="0" applyFont="1" applyFill="1" applyBorder="1" applyAlignment="1" applyProtection="1">
      <alignment horizontal="left" vertical="top" wrapText="1"/>
      <protection locked="0"/>
    </xf>
    <xf numFmtId="0" fontId="13" fillId="7" borderId="6" xfId="0" applyFont="1" applyFill="1" applyBorder="1" applyAlignment="1" applyProtection="1">
      <alignment horizontal="left" vertical="top" wrapText="1"/>
      <protection locked="0"/>
    </xf>
    <xf numFmtId="0" fontId="17" fillId="8" borderId="7" xfId="0" applyFont="1" applyFill="1" applyBorder="1" applyAlignment="1" applyProtection="1">
      <alignment horizontal="center"/>
      <protection locked="0"/>
    </xf>
    <xf numFmtId="0" fontId="17" fillId="8" borderId="6" xfId="0" applyFont="1" applyFill="1" applyBorder="1" applyAlignment="1" applyProtection="1">
      <alignment/>
      <protection locked="0"/>
    </xf>
    <xf numFmtId="0" fontId="17" fillId="8" borderId="6" xfId="0" applyFont="1" applyFill="1" applyBorder="1" applyAlignment="1" applyProtection="1">
      <alignment horizontal="center"/>
      <protection locked="0"/>
    </xf>
    <xf numFmtId="0" fontId="17" fillId="8" borderId="7" xfId="0" applyFont="1" applyFill="1" applyBorder="1" applyAlignment="1" applyProtection="1">
      <alignment vertical="top" wrapText="1"/>
      <protection locked="0"/>
    </xf>
    <xf numFmtId="0" fontId="18" fillId="8" borderId="6" xfId="0" applyFont="1" applyFill="1" applyBorder="1" applyAlignment="1" applyProtection="1">
      <alignment horizontal="left" vertical="top" wrapText="1"/>
      <protection locked="0"/>
    </xf>
    <xf numFmtId="0" fontId="13" fillId="8" borderId="6" xfId="0" applyFont="1" applyFill="1" applyBorder="1" applyAlignment="1" applyProtection="1">
      <alignment horizontal="left" vertical="top" wrapText="1"/>
      <protection locked="0"/>
    </xf>
    <xf numFmtId="0" fontId="17" fillId="9" borderId="7" xfId="0" applyFont="1" applyFill="1" applyBorder="1" applyAlignment="1" applyProtection="1">
      <alignment horizontal="center"/>
      <protection locked="0"/>
    </xf>
    <xf numFmtId="0" fontId="17" fillId="9" borderId="6" xfId="0" applyFont="1" applyFill="1" applyBorder="1" applyAlignment="1" applyProtection="1">
      <alignment/>
      <protection locked="0"/>
    </xf>
    <xf numFmtId="0" fontId="17" fillId="9" borderId="6" xfId="0" applyFont="1" applyFill="1" applyBorder="1" applyAlignment="1" applyProtection="1">
      <alignment horizontal="center"/>
      <protection locked="0"/>
    </xf>
    <xf numFmtId="0" fontId="17" fillId="9" borderId="7" xfId="0" applyFont="1" applyFill="1" applyBorder="1" applyAlignment="1" applyProtection="1">
      <alignment vertical="top" wrapText="1"/>
      <protection locked="0"/>
    </xf>
    <xf numFmtId="0" fontId="18" fillId="9" borderId="6" xfId="0" applyFont="1" applyFill="1" applyBorder="1" applyAlignment="1" applyProtection="1">
      <alignment vertical="top" wrapText="1"/>
      <protection locked="0"/>
    </xf>
    <xf numFmtId="0" fontId="13" fillId="9" borderId="6" xfId="0" applyFont="1" applyFill="1" applyBorder="1" applyAlignment="1" applyProtection="1">
      <alignment horizontal="left" vertical="top" wrapText="1"/>
      <protection locked="0"/>
    </xf>
    <xf numFmtId="0" fontId="17" fillId="10" borderId="7" xfId="0" applyFont="1" applyFill="1" applyBorder="1" applyAlignment="1" applyProtection="1">
      <alignment horizontal="center"/>
      <protection locked="0"/>
    </xf>
    <xf numFmtId="0" fontId="17" fillId="10" borderId="6" xfId="0" applyFont="1" applyFill="1" applyBorder="1" applyAlignment="1" applyProtection="1">
      <alignment/>
      <protection locked="0"/>
    </xf>
    <xf numFmtId="0" fontId="17" fillId="10" borderId="6" xfId="0" applyFont="1" applyFill="1" applyBorder="1" applyAlignment="1" applyProtection="1">
      <alignment horizontal="center"/>
      <protection locked="0"/>
    </xf>
    <xf numFmtId="0" fontId="17" fillId="10" borderId="7" xfId="0" applyFont="1" applyFill="1" applyBorder="1" applyAlignment="1" applyProtection="1">
      <alignment vertical="top" wrapText="1"/>
      <protection locked="0"/>
    </xf>
    <xf numFmtId="0" fontId="18" fillId="10" borderId="6" xfId="0" applyFont="1" applyFill="1" applyBorder="1" applyAlignment="1" applyProtection="1">
      <alignment vertical="top" wrapText="1"/>
      <protection locked="0"/>
    </xf>
    <xf numFmtId="0" fontId="13" fillId="10" borderId="6" xfId="0" applyFont="1" applyFill="1" applyBorder="1" applyAlignment="1" applyProtection="1">
      <alignment horizontal="left" vertical="top" wrapText="1"/>
      <protection locked="0"/>
    </xf>
    <xf numFmtId="0" fontId="17" fillId="11" borderId="7" xfId="0" applyFont="1" applyFill="1" applyBorder="1" applyAlignment="1" applyProtection="1">
      <alignment horizontal="center"/>
      <protection locked="0"/>
    </xf>
    <xf numFmtId="0" fontId="17" fillId="11" borderId="6" xfId="0" applyFont="1" applyFill="1" applyBorder="1" applyAlignment="1" applyProtection="1">
      <alignment/>
      <protection locked="0"/>
    </xf>
    <xf numFmtId="0" fontId="17" fillId="11" borderId="6" xfId="0" applyFont="1" applyFill="1" applyBorder="1" applyAlignment="1" applyProtection="1">
      <alignment horizontal="center"/>
      <protection locked="0"/>
    </xf>
    <xf numFmtId="0" fontId="17" fillId="11" borderId="7" xfId="0" applyFont="1" applyFill="1" applyBorder="1" applyAlignment="1" applyProtection="1">
      <alignment vertical="top" wrapText="1"/>
      <protection locked="0"/>
    </xf>
    <xf numFmtId="0" fontId="18" fillId="11" borderId="6" xfId="0" applyFont="1" applyFill="1" applyBorder="1" applyAlignment="1" applyProtection="1">
      <alignment vertical="top" wrapText="1"/>
      <protection locked="0"/>
    </xf>
    <xf numFmtId="0" fontId="13" fillId="11" borderId="6" xfId="0" applyFont="1" applyFill="1" applyBorder="1" applyAlignment="1" applyProtection="1">
      <alignment horizontal="left" vertical="top" wrapText="1"/>
      <protection locked="0"/>
    </xf>
    <xf numFmtId="176" fontId="26" fillId="0" borderId="0" xfId="0" applyNumberFormat="1" applyFont="1" applyAlignment="1" applyProtection="1">
      <alignment horizontal="left"/>
      <protection/>
    </xf>
    <xf numFmtId="0" fontId="26" fillId="0" borderId="0" xfId="0" applyFont="1" applyAlignment="1">
      <alignment/>
    </xf>
    <xf numFmtId="41" fontId="0" fillId="5" borderId="6" xfId="18" applyFont="1" applyFill="1" applyBorder="1" applyAlignment="1" applyProtection="1">
      <alignment horizontal="right"/>
      <protection locked="0"/>
    </xf>
    <xf numFmtId="41" fontId="0" fillId="4" borderId="6" xfId="18" applyFont="1" applyFill="1" applyBorder="1" applyAlignment="1" applyProtection="1">
      <alignment horizontal="right"/>
      <protection locked="0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/>
    </xf>
    <xf numFmtId="0" fontId="17" fillId="6" borderId="11" xfId="0" applyFont="1" applyFill="1" applyBorder="1" applyAlignment="1" applyProtection="1">
      <alignment horizontal="center"/>
      <protection locked="0"/>
    </xf>
    <xf numFmtId="0" fontId="13" fillId="6" borderId="11" xfId="0" applyFont="1" applyFill="1" applyBorder="1" applyAlignment="1" applyProtection="1">
      <alignment horizontal="left" vertical="top" wrapText="1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3" fillId="7" borderId="11" xfId="0" applyFont="1" applyFill="1" applyBorder="1" applyAlignment="1" applyProtection="1">
      <alignment horizontal="left" vertical="top" wrapText="1"/>
      <protection locked="0"/>
    </xf>
    <xf numFmtId="0" fontId="17" fillId="8" borderId="11" xfId="0" applyFont="1" applyFill="1" applyBorder="1" applyAlignment="1" applyProtection="1">
      <alignment horizontal="center"/>
      <protection locked="0"/>
    </xf>
    <xf numFmtId="0" fontId="13" fillId="8" borderId="11" xfId="0" applyFont="1" applyFill="1" applyBorder="1" applyAlignment="1" applyProtection="1">
      <alignment horizontal="left" vertical="top" wrapText="1"/>
      <protection locked="0"/>
    </xf>
    <xf numFmtId="0" fontId="17" fillId="9" borderId="11" xfId="0" applyFont="1" applyFill="1" applyBorder="1" applyAlignment="1" applyProtection="1">
      <alignment horizontal="center"/>
      <protection locked="0"/>
    </xf>
    <xf numFmtId="0" fontId="13" fillId="9" borderId="11" xfId="0" applyFont="1" applyFill="1" applyBorder="1" applyAlignment="1" applyProtection="1">
      <alignment horizontal="left" vertical="top" wrapText="1"/>
      <protection locked="0"/>
    </xf>
    <xf numFmtId="0" fontId="17" fillId="10" borderId="11" xfId="0" applyFont="1" applyFill="1" applyBorder="1" applyAlignment="1" applyProtection="1">
      <alignment horizontal="center"/>
      <protection locked="0"/>
    </xf>
    <xf numFmtId="0" fontId="13" fillId="10" borderId="11" xfId="0" applyFont="1" applyFill="1" applyBorder="1" applyAlignment="1" applyProtection="1">
      <alignment horizontal="left" vertical="top" wrapText="1"/>
      <protection locked="0"/>
    </xf>
    <xf numFmtId="0" fontId="17" fillId="11" borderId="11" xfId="0" applyFont="1" applyFill="1" applyBorder="1" applyAlignment="1" applyProtection="1">
      <alignment horizontal="center"/>
      <protection locked="0"/>
    </xf>
    <xf numFmtId="0" fontId="13" fillId="11" borderId="11" xfId="0" applyFont="1" applyFill="1" applyBorder="1" applyAlignment="1" applyProtection="1">
      <alignment horizontal="left" vertical="top" wrapText="1"/>
      <protection locked="0"/>
    </xf>
    <xf numFmtId="41" fontId="0" fillId="7" borderId="6" xfId="18" applyFont="1" applyFill="1" applyBorder="1" applyAlignment="1" applyProtection="1">
      <alignment horizontal="right"/>
      <protection locked="0"/>
    </xf>
    <xf numFmtId="176" fontId="26" fillId="9" borderId="0" xfId="0" applyNumberFormat="1" applyFont="1" applyFill="1" applyAlignment="1" applyProtection="1">
      <alignment/>
      <protection/>
    </xf>
    <xf numFmtId="177" fontId="26" fillId="9" borderId="0" xfId="0" applyNumberFormat="1" applyFont="1" applyFill="1" applyAlignment="1" applyProtection="1">
      <alignment horizontal="left"/>
      <protection/>
    </xf>
    <xf numFmtId="176" fontId="0" fillId="9" borderId="0" xfId="0" applyNumberFormat="1" applyFill="1" applyAlignment="1" applyProtection="1">
      <alignment horizontal="right"/>
      <protection/>
    </xf>
    <xf numFmtId="176" fontId="0" fillId="9" borderId="0" xfId="0" applyNumberFormat="1" applyFill="1" applyAlignment="1" applyProtection="1">
      <alignment/>
      <protection/>
    </xf>
    <xf numFmtId="176" fontId="26" fillId="8" borderId="0" xfId="0" applyNumberFormat="1" applyFont="1" applyFill="1" applyAlignment="1" applyProtection="1">
      <alignment horizontal="left"/>
      <protection/>
    </xf>
    <xf numFmtId="0" fontId="26" fillId="8" borderId="0" xfId="0" applyFont="1" applyFill="1" applyAlignment="1">
      <alignment/>
    </xf>
    <xf numFmtId="0" fontId="0" fillId="8" borderId="0" xfId="0" applyFill="1" applyAlignment="1">
      <alignment horizontal="right"/>
    </xf>
    <xf numFmtId="176" fontId="0" fillId="8" borderId="0" xfId="0" applyNumberFormat="1" applyFill="1" applyAlignment="1" applyProtection="1">
      <alignment/>
      <protection/>
    </xf>
    <xf numFmtId="176" fontId="7" fillId="3" borderId="1" xfId="0" applyNumberFormat="1" applyFont="1" applyFill="1" applyBorder="1" applyAlignment="1" applyProtection="1">
      <alignment horizontal="center" vertical="center" wrapText="1"/>
      <protection/>
    </xf>
    <xf numFmtId="176" fontId="26" fillId="12" borderId="0" xfId="0" applyNumberFormat="1" applyFont="1" applyFill="1" applyAlignment="1" applyProtection="1">
      <alignment/>
      <protection/>
    </xf>
    <xf numFmtId="49" fontId="10" fillId="4" borderId="6" xfId="0" applyNumberFormat="1" applyFont="1" applyFill="1" applyBorder="1" applyAlignment="1" applyProtection="1">
      <alignment horizontal="center" vertical="center" wrapText="1"/>
      <protection/>
    </xf>
    <xf numFmtId="49" fontId="10" fillId="5" borderId="6" xfId="0" applyNumberFormat="1" applyFont="1" applyFill="1" applyBorder="1" applyAlignment="1" applyProtection="1">
      <alignment horizontal="center" vertical="center" wrapText="1"/>
      <protection/>
    </xf>
    <xf numFmtId="49" fontId="10" fillId="7" borderId="6" xfId="0" applyNumberFormat="1" applyFont="1" applyFill="1" applyBorder="1" applyAlignment="1" applyProtection="1">
      <alignment horizontal="center" vertical="center" wrapText="1"/>
      <protection/>
    </xf>
    <xf numFmtId="49" fontId="24" fillId="2" borderId="7" xfId="0" applyNumberFormat="1" applyFont="1" applyFill="1" applyBorder="1" applyAlignment="1" applyProtection="1">
      <alignment horizontal="center" vertical="center" wrapText="1"/>
      <protection/>
    </xf>
    <xf numFmtId="49" fontId="24" fillId="2" borderId="6" xfId="0" applyNumberFormat="1" applyFont="1" applyFill="1" applyBorder="1" applyAlignment="1" applyProtection="1">
      <alignment horizontal="center" vertical="center" wrapText="1"/>
      <protection/>
    </xf>
    <xf numFmtId="176" fontId="1" fillId="11" borderId="6" xfId="0" applyNumberFormat="1" applyFont="1" applyFill="1" applyBorder="1" applyAlignment="1" applyProtection="1">
      <alignment horizontal="left"/>
      <protection/>
    </xf>
    <xf numFmtId="176" fontId="7" fillId="3" borderId="6" xfId="0" applyNumberFormat="1" applyFont="1" applyFill="1" applyBorder="1" applyAlignment="1" applyProtection="1">
      <alignment horizontal="center" vertical="center" wrapText="1"/>
      <protection/>
    </xf>
    <xf numFmtId="179" fontId="7" fillId="3" borderId="6" xfId="0" applyNumberFormat="1" applyFont="1" applyFill="1" applyBorder="1" applyAlignment="1" applyProtection="1">
      <alignment horizontal="center" vertical="center" wrapText="1"/>
      <protection/>
    </xf>
    <xf numFmtId="2" fontId="0" fillId="2" borderId="7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6" fillId="11" borderId="6" xfId="0" applyFont="1" applyFill="1" applyBorder="1" applyAlignment="1" applyProtection="1">
      <alignment/>
      <protection locked="0"/>
    </xf>
    <xf numFmtId="176" fontId="1" fillId="3" borderId="6" xfId="0" applyNumberFormat="1" applyFont="1" applyFill="1" applyBorder="1" applyAlignment="1" applyProtection="1">
      <alignment horizontal="center"/>
      <protection/>
    </xf>
    <xf numFmtId="0" fontId="3" fillId="3" borderId="6" xfId="0" applyFont="1" applyFill="1" applyBorder="1" applyAlignment="1">
      <alignment/>
    </xf>
    <xf numFmtId="179" fontId="0" fillId="11" borderId="6" xfId="0" applyNumberFormat="1" applyFill="1" applyBorder="1" applyAlignment="1" applyProtection="1">
      <alignment horizontal="left"/>
      <protection/>
    </xf>
    <xf numFmtId="2" fontId="0" fillId="4" borderId="6" xfId="0" applyNumberFormat="1" applyFill="1" applyBorder="1" applyAlignment="1" applyProtection="1">
      <alignment/>
      <protection/>
    </xf>
    <xf numFmtId="2" fontId="0" fillId="5" borderId="6" xfId="0" applyNumberFormat="1" applyFill="1" applyBorder="1" applyAlignment="1" applyProtection="1">
      <alignment/>
      <protection/>
    </xf>
    <xf numFmtId="2" fontId="0" fillId="7" borderId="6" xfId="0" applyNumberFormat="1" applyFill="1" applyBorder="1" applyAlignment="1" applyProtection="1">
      <alignment/>
      <protection/>
    </xf>
    <xf numFmtId="2" fontId="0" fillId="2" borderId="6" xfId="0" applyNumberFormat="1" applyFill="1" applyBorder="1" applyAlignment="1" applyProtection="1">
      <alignment/>
      <protection/>
    </xf>
    <xf numFmtId="2" fontId="0" fillId="2" borderId="6" xfId="0" applyNumberFormat="1" applyFill="1" applyBorder="1" applyAlignment="1" applyProtection="1" quotePrefix="1">
      <alignment/>
      <protection/>
    </xf>
    <xf numFmtId="184" fontId="0" fillId="2" borderId="11" xfId="0" applyNumberFormat="1" applyFill="1" applyBorder="1" applyAlignment="1" applyProtection="1">
      <alignment/>
      <protection/>
    </xf>
    <xf numFmtId="2" fontId="0" fillId="2" borderId="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76" fontId="0" fillId="11" borderId="12" xfId="0" applyNumberFormat="1" applyFill="1" applyBorder="1" applyAlignment="1" applyProtection="1">
      <alignment horizontal="left"/>
      <protection/>
    </xf>
    <xf numFmtId="2" fontId="0" fillId="4" borderId="12" xfId="0" applyNumberFormat="1" applyFill="1" applyBorder="1" applyAlignment="1" applyProtection="1">
      <alignment/>
      <protection/>
    </xf>
    <xf numFmtId="2" fontId="0" fillId="5" borderId="12" xfId="0" applyNumberFormat="1" applyFill="1" applyBorder="1" applyAlignment="1" applyProtection="1">
      <alignment/>
      <protection/>
    </xf>
    <xf numFmtId="2" fontId="0" fillId="7" borderId="12" xfId="0" applyNumberFormat="1" applyFill="1" applyBorder="1" applyAlignment="1" applyProtection="1">
      <alignment/>
      <protection/>
    </xf>
    <xf numFmtId="2" fontId="0" fillId="2" borderId="12" xfId="0" applyNumberFormat="1" applyFill="1" applyBorder="1" applyAlignment="1" applyProtection="1">
      <alignment/>
      <protection/>
    </xf>
    <xf numFmtId="2" fontId="0" fillId="2" borderId="12" xfId="0" applyNumberFormat="1" applyFill="1" applyBorder="1" applyAlignment="1" applyProtection="1" quotePrefix="1">
      <alignment/>
      <protection/>
    </xf>
    <xf numFmtId="184" fontId="0" fillId="2" borderId="12" xfId="18" applyNumberFormat="1" applyFill="1" applyBorder="1" applyAlignment="1" applyProtection="1">
      <alignment/>
      <protection/>
    </xf>
    <xf numFmtId="184" fontId="0" fillId="2" borderId="13" xfId="0" applyNumberFormat="1" applyFill="1" applyBorder="1" applyAlignment="1" applyProtection="1">
      <alignment/>
      <protection/>
    </xf>
    <xf numFmtId="179" fontId="22" fillId="2" borderId="6" xfId="0" applyNumberFormat="1" applyFont="1" applyFill="1" applyBorder="1" applyAlignment="1" applyProtection="1">
      <alignment horizontal="center" vertical="center" wrapText="1"/>
      <protection/>
    </xf>
    <xf numFmtId="179" fontId="22" fillId="2" borderId="11" xfId="0" applyNumberFormat="1" applyFont="1" applyFill="1" applyBorder="1" applyAlignment="1" applyProtection="1">
      <alignment horizontal="center" vertical="center" wrapText="1"/>
      <protection/>
    </xf>
    <xf numFmtId="176" fontId="15" fillId="3" borderId="6" xfId="0" applyNumberFormat="1" applyFont="1" applyFill="1" applyBorder="1" applyAlignment="1" applyProtection="1">
      <alignment horizontal="left"/>
      <protection/>
    </xf>
    <xf numFmtId="41" fontId="8" fillId="4" borderId="6" xfId="18" applyFont="1" applyFill="1" applyBorder="1" applyAlignment="1" applyProtection="1">
      <alignment vertical="center" wrapText="1"/>
      <protection/>
    </xf>
    <xf numFmtId="41" fontId="8" fillId="5" borderId="6" xfId="18" applyFont="1" applyFill="1" applyBorder="1" applyAlignment="1" applyProtection="1">
      <alignment vertical="center" wrapText="1"/>
      <protection/>
    </xf>
    <xf numFmtId="41" fontId="8" fillId="7" borderId="6" xfId="18" applyFont="1" applyFill="1" applyBorder="1" applyAlignment="1" applyProtection="1">
      <alignment vertical="center" wrapText="1"/>
      <protection/>
    </xf>
    <xf numFmtId="41" fontId="8" fillId="7" borderId="11" xfId="18" applyFont="1" applyFill="1" applyBorder="1" applyAlignment="1" applyProtection="1">
      <alignment vertical="center" wrapText="1"/>
      <protection/>
    </xf>
    <xf numFmtId="176" fontId="15" fillId="3" borderId="12" xfId="0" applyNumberFormat="1" applyFont="1" applyFill="1" applyBorder="1" applyAlignment="1" applyProtection="1">
      <alignment horizontal="left"/>
      <protection/>
    </xf>
    <xf numFmtId="41" fontId="8" fillId="4" borderId="12" xfId="18" applyFont="1" applyFill="1" applyBorder="1" applyAlignment="1" applyProtection="1">
      <alignment vertical="center" wrapText="1"/>
      <protection/>
    </xf>
    <xf numFmtId="41" fontId="8" fillId="5" borderId="12" xfId="18" applyFont="1" applyFill="1" applyBorder="1" applyAlignment="1" applyProtection="1">
      <alignment vertical="center" wrapText="1"/>
      <protection/>
    </xf>
    <xf numFmtId="41" fontId="8" fillId="7" borderId="12" xfId="18" applyFont="1" applyFill="1" applyBorder="1" applyAlignment="1" applyProtection="1">
      <alignment vertical="center" wrapText="1"/>
      <protection/>
    </xf>
    <xf numFmtId="41" fontId="8" fillId="7" borderId="13" xfId="18" applyFont="1" applyFill="1" applyBorder="1" applyAlignment="1" applyProtection="1">
      <alignment vertical="center" wrapText="1"/>
      <protection/>
    </xf>
    <xf numFmtId="49" fontId="24" fillId="3" borderId="6" xfId="0" applyNumberFormat="1" applyFont="1" applyFill="1" applyBorder="1" applyAlignment="1" applyProtection="1">
      <alignment horizontal="center" vertical="center" wrapText="1"/>
      <protection/>
    </xf>
    <xf numFmtId="49" fontId="24" fillId="3" borderId="11" xfId="0" applyNumberFormat="1" applyFont="1" applyFill="1" applyBorder="1" applyAlignment="1" applyProtection="1">
      <alignment horizontal="center" vertical="center" wrapText="1"/>
      <protection/>
    </xf>
    <xf numFmtId="176" fontId="22" fillId="2" borderId="6" xfId="0" applyNumberFormat="1" applyFont="1" applyFill="1" applyBorder="1" applyAlignment="1" applyProtection="1">
      <alignment horizontal="center" vertical="center" wrapText="1"/>
      <protection/>
    </xf>
    <xf numFmtId="176" fontId="22" fillId="2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1" fillId="6" borderId="21" xfId="0" applyNumberFormat="1" applyFont="1" applyFill="1" applyBorder="1" applyAlignment="1" applyProtection="1">
      <alignment horizontal="center"/>
      <protection/>
    </xf>
    <xf numFmtId="14" fontId="1" fillId="6" borderId="0" xfId="0" applyNumberFormat="1" applyFont="1" applyFill="1" applyBorder="1" applyAlignment="1" applyProtection="1">
      <alignment horizontal="center"/>
      <protection/>
    </xf>
    <xf numFmtId="49" fontId="10" fillId="4" borderId="22" xfId="0" applyNumberFormat="1" applyFont="1" applyFill="1" applyBorder="1" applyAlignment="1" applyProtection="1">
      <alignment horizontal="center" vertical="center" wrapText="1"/>
      <protection/>
    </xf>
    <xf numFmtId="49" fontId="24" fillId="2" borderId="2" xfId="0" applyNumberFormat="1" applyFont="1" applyFill="1" applyBorder="1" applyAlignment="1" applyProtection="1">
      <alignment horizontal="center" vertical="center" wrapText="1"/>
      <protection/>
    </xf>
    <xf numFmtId="49" fontId="24" fillId="2" borderId="3" xfId="0" applyNumberFormat="1" applyFont="1" applyFill="1" applyBorder="1" applyAlignment="1" applyProtection="1">
      <alignment horizontal="center" vertical="center" wrapText="1"/>
      <protection/>
    </xf>
    <xf numFmtId="176" fontId="1" fillId="11" borderId="3" xfId="0" applyNumberFormat="1" applyFont="1" applyFill="1" applyBorder="1" applyAlignment="1" applyProtection="1">
      <alignment horizontal="left"/>
      <protection/>
    </xf>
    <xf numFmtId="176" fontId="28" fillId="13" borderId="0" xfId="0" applyNumberFormat="1" applyFont="1" applyFill="1" applyBorder="1" applyAlignment="1" applyProtection="1">
      <alignment horizontal="left" vertical="top"/>
      <protection locked="0"/>
    </xf>
    <xf numFmtId="176" fontId="28" fillId="13" borderId="0" xfId="0" applyNumberFormat="1" applyFont="1" applyFill="1" applyBorder="1" applyAlignment="1" applyProtection="1">
      <alignment horizontal="left" vertical="top" wrapText="1"/>
      <protection locked="0"/>
    </xf>
    <xf numFmtId="49" fontId="24" fillId="3" borderId="22" xfId="0" applyNumberFormat="1" applyFont="1" applyFill="1" applyBorder="1" applyAlignment="1" applyProtection="1">
      <alignment horizontal="center" vertical="center" wrapText="1"/>
      <protection/>
    </xf>
    <xf numFmtId="176" fontId="15" fillId="3" borderId="3" xfId="0" applyNumberFormat="1" applyFont="1" applyFill="1" applyBorder="1" applyAlignment="1" applyProtection="1">
      <alignment horizontal="left"/>
      <protection/>
    </xf>
    <xf numFmtId="176" fontId="28" fillId="13" borderId="0" xfId="0" applyNumberFormat="1" applyFont="1" applyFill="1" applyBorder="1" applyAlignment="1" applyProtection="1">
      <alignment horizontal="left" vertical="top" wrapText="1"/>
      <protection/>
    </xf>
    <xf numFmtId="185" fontId="28" fillId="13" borderId="0" xfId="0" applyNumberFormat="1" applyFont="1" applyFill="1" applyBorder="1" applyAlignment="1" applyProtection="1">
      <alignment horizontal="left" vertical="top" wrapText="1"/>
      <protection/>
    </xf>
    <xf numFmtId="0" fontId="16" fillId="3" borderId="3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0" fillId="3" borderId="0" xfId="0" applyFont="1" applyFill="1" applyAlignment="1">
      <alignment vertical="top" wrapText="1"/>
    </xf>
    <xf numFmtId="0" fontId="33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0" fontId="12" fillId="4" borderId="25" xfId="0" applyFont="1" applyFill="1" applyBorder="1" applyAlignment="1" applyProtection="1">
      <alignment horizontal="center" vertical="top" wrapText="1"/>
      <protection locked="0"/>
    </xf>
    <xf numFmtId="0" fontId="22" fillId="0" borderId="2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left"/>
    </xf>
    <xf numFmtId="0" fontId="13" fillId="5" borderId="24" xfId="0" applyFont="1" applyFill="1" applyBorder="1" applyAlignment="1">
      <alignment horizontal="left"/>
    </xf>
    <xf numFmtId="0" fontId="13" fillId="5" borderId="25" xfId="0" applyFont="1" applyFill="1" applyBorder="1" applyAlignment="1">
      <alignment horizontal="left"/>
    </xf>
    <xf numFmtId="0" fontId="12" fillId="14" borderId="26" xfId="0" applyFont="1" applyFill="1" applyBorder="1" applyAlignment="1" applyProtection="1">
      <alignment horizontal="center" vertical="center"/>
      <protection locked="0"/>
    </xf>
    <xf numFmtId="0" fontId="12" fillId="14" borderId="27" xfId="0" applyFont="1" applyFill="1" applyBorder="1" applyAlignment="1" applyProtection="1">
      <alignment horizontal="center" vertical="center"/>
      <protection locked="0"/>
    </xf>
    <xf numFmtId="0" fontId="12" fillId="14" borderId="28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9" fillId="4" borderId="5" xfId="0" applyFont="1" applyFill="1" applyBorder="1" applyAlignment="1">
      <alignment vertical="center"/>
    </xf>
    <xf numFmtId="0" fontId="19" fillId="4" borderId="30" xfId="0" applyFont="1" applyFill="1" applyBorder="1" applyAlignment="1">
      <alignment vertical="center"/>
    </xf>
    <xf numFmtId="0" fontId="14" fillId="13" borderId="31" xfId="0" applyFont="1" applyFill="1" applyBorder="1" applyAlignment="1">
      <alignment horizontal="center"/>
    </xf>
    <xf numFmtId="0" fontId="14" fillId="13" borderId="24" xfId="0" applyFont="1" applyFill="1" applyBorder="1" applyAlignment="1">
      <alignment horizontal="center"/>
    </xf>
    <xf numFmtId="0" fontId="14" fillId="13" borderId="25" xfId="0" applyFont="1" applyFill="1" applyBorder="1" applyAlignment="1">
      <alignment horizontal="center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/>
      <protection locked="0"/>
    </xf>
    <xf numFmtId="0" fontId="13" fillId="3" borderId="34" xfId="0" applyFont="1" applyFill="1" applyBorder="1" applyAlignment="1" applyProtection="1">
      <alignment horizontal="center"/>
      <protection locked="0"/>
    </xf>
    <xf numFmtId="185" fontId="28" fillId="13" borderId="0" xfId="0" applyNumberFormat="1" applyFont="1" applyFill="1" applyBorder="1" applyAlignment="1" applyProtection="1">
      <alignment horizontal="left" vertical="top"/>
      <protection locked="0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15" borderId="36" xfId="0" applyNumberFormat="1" applyFont="1" applyFill="1" applyBorder="1" applyAlignment="1" applyProtection="1">
      <alignment/>
      <protection/>
    </xf>
    <xf numFmtId="176" fontId="0" fillId="15" borderId="27" xfId="0" applyNumberFormat="1" applyFont="1" applyFill="1" applyBorder="1" applyAlignment="1" applyProtection="1">
      <alignment/>
      <protection/>
    </xf>
    <xf numFmtId="176" fontId="0" fillId="15" borderId="28" xfId="0" applyNumberFormat="1" applyFont="1" applyFill="1" applyBorder="1" applyAlignment="1" applyProtection="1">
      <alignment/>
      <protection/>
    </xf>
    <xf numFmtId="176" fontId="0" fillId="15" borderId="37" xfId="0" applyNumberFormat="1" applyFont="1" applyFill="1" applyBorder="1" applyAlignment="1" applyProtection="1">
      <alignment/>
      <protection/>
    </xf>
    <xf numFmtId="176" fontId="0" fillId="15" borderId="0" xfId="0" applyNumberFormat="1" applyFont="1" applyFill="1" applyBorder="1" applyAlignment="1" applyProtection="1">
      <alignment/>
      <protection/>
    </xf>
    <xf numFmtId="176" fontId="0" fillId="15" borderId="29" xfId="0" applyNumberFormat="1" applyFont="1" applyFill="1" applyBorder="1" applyAlignment="1" applyProtection="1">
      <alignment/>
      <protection/>
    </xf>
    <xf numFmtId="176" fontId="0" fillId="15" borderId="38" xfId="0" applyNumberFormat="1" applyFont="1" applyFill="1" applyBorder="1" applyAlignment="1" applyProtection="1">
      <alignment/>
      <protection/>
    </xf>
    <xf numFmtId="176" fontId="0" fillId="15" borderId="19" xfId="0" applyNumberFormat="1" applyFont="1" applyFill="1" applyBorder="1" applyAlignment="1" applyProtection="1">
      <alignment/>
      <protection/>
    </xf>
    <xf numFmtId="176" fontId="0" fillId="15" borderId="39" xfId="0" applyNumberFormat="1" applyFont="1" applyFill="1" applyBorder="1" applyAlignment="1" applyProtection="1">
      <alignment/>
      <protection/>
    </xf>
    <xf numFmtId="176" fontId="0" fillId="0" borderId="40" xfId="0" applyNumberFormat="1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 horizontal="right"/>
      <protection/>
    </xf>
    <xf numFmtId="176" fontId="0" fillId="0" borderId="16" xfId="0" applyNumberFormat="1" applyBorder="1" applyAlignment="1" applyProtection="1">
      <alignment horizontal="right"/>
      <protection/>
    </xf>
    <xf numFmtId="176" fontId="0" fillId="0" borderId="38" xfId="0" applyNumberFormat="1" applyBorder="1" applyAlignment="1" applyProtection="1">
      <alignment horizontal="right"/>
      <protection/>
    </xf>
    <xf numFmtId="176" fontId="0" fillId="0" borderId="19" xfId="0" applyNumberFormat="1" applyBorder="1" applyAlignment="1" applyProtection="1">
      <alignment horizontal="right"/>
      <protection/>
    </xf>
    <xf numFmtId="176" fontId="0" fillId="0" borderId="20" xfId="0" applyNumberFormat="1" applyBorder="1" applyAlignment="1" applyProtection="1">
      <alignment horizontal="right"/>
      <protection/>
    </xf>
    <xf numFmtId="179" fontId="1" fillId="0" borderId="23" xfId="0" applyNumberFormat="1" applyFont="1" applyBorder="1" applyAlignment="1" applyProtection="1">
      <alignment horizontal="left"/>
      <protection/>
    </xf>
    <xf numFmtId="179" fontId="1" fillId="0" borderId="24" xfId="0" applyNumberFormat="1" applyFont="1" applyBorder="1" applyAlignment="1" applyProtection="1">
      <alignment horizontal="left"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6" fontId="1" fillId="0" borderId="41" xfId="0" applyNumberFormat="1" applyFont="1" applyBorder="1" applyAlignment="1" applyProtection="1">
      <alignment horizontal="center"/>
      <protection/>
    </xf>
    <xf numFmtId="176" fontId="1" fillId="0" borderId="42" xfId="0" applyNumberFormat="1" applyFont="1" applyBorder="1" applyAlignment="1" applyProtection="1">
      <alignment horizontal="center"/>
      <protection/>
    </xf>
    <xf numFmtId="176" fontId="1" fillId="0" borderId="3" xfId="0" applyNumberFormat="1" applyFont="1" applyBorder="1" applyAlignment="1" applyProtection="1">
      <alignment horizontal="center"/>
      <protection/>
    </xf>
    <xf numFmtId="14" fontId="1" fillId="3" borderId="41" xfId="0" applyNumberFormat="1" applyFont="1" applyFill="1" applyBorder="1" applyAlignment="1" applyProtection="1">
      <alignment horizontal="left"/>
      <protection/>
    </xf>
    <xf numFmtId="14" fontId="1" fillId="3" borderId="42" xfId="0" applyNumberFormat="1" applyFont="1" applyFill="1" applyBorder="1" applyAlignment="1" applyProtection="1">
      <alignment horizontal="left"/>
      <protection/>
    </xf>
    <xf numFmtId="14" fontId="1" fillId="3" borderId="3" xfId="0" applyNumberFormat="1" applyFont="1" applyFill="1" applyBorder="1" applyAlignment="1" applyProtection="1">
      <alignment horizontal="left"/>
      <protection/>
    </xf>
    <xf numFmtId="14" fontId="1" fillId="4" borderId="20" xfId="0" applyNumberFormat="1" applyFont="1" applyFill="1" applyBorder="1" applyAlignment="1" applyProtection="1">
      <alignment horizontal="center"/>
      <protection/>
    </xf>
    <xf numFmtId="14" fontId="1" fillId="4" borderId="3" xfId="0" applyNumberFormat="1" applyFont="1" applyFill="1" applyBorder="1" applyAlignment="1" applyProtection="1">
      <alignment horizontal="center"/>
      <protection/>
    </xf>
    <xf numFmtId="14" fontId="1" fillId="5" borderId="3" xfId="0" applyNumberFormat="1" applyFont="1" applyFill="1" applyBorder="1" applyAlignment="1" applyProtection="1">
      <alignment horizontal="center"/>
      <protection/>
    </xf>
    <xf numFmtId="14" fontId="1" fillId="7" borderId="3" xfId="0" applyNumberFormat="1" applyFont="1" applyFill="1" applyBorder="1" applyAlignment="1" applyProtection="1">
      <alignment horizontal="center"/>
      <protection/>
    </xf>
    <xf numFmtId="14" fontId="1" fillId="4" borderId="21" xfId="0" applyNumberFormat="1" applyFont="1" applyFill="1" applyBorder="1" applyAlignment="1" applyProtection="1">
      <alignment horizontal="center" vertical="center"/>
      <protection/>
    </xf>
    <xf numFmtId="14" fontId="1" fillId="4" borderId="9" xfId="0" applyNumberFormat="1" applyFont="1" applyFill="1" applyBorder="1" applyAlignment="1" applyProtection="1">
      <alignment horizontal="center" vertical="center"/>
      <protection/>
    </xf>
    <xf numFmtId="14" fontId="1" fillId="7" borderId="9" xfId="0" applyNumberFormat="1" applyFont="1" applyFill="1" applyBorder="1" applyAlignment="1" applyProtection="1">
      <alignment horizontal="center" vertical="center"/>
      <protection/>
    </xf>
    <xf numFmtId="14" fontId="1" fillId="7" borderId="43" xfId="0" applyNumberFormat="1" applyFont="1" applyFill="1" applyBorder="1" applyAlignment="1" applyProtection="1">
      <alignment horizontal="center" vertical="center"/>
      <protection/>
    </xf>
    <xf numFmtId="2" fontId="29" fillId="2" borderId="44" xfId="0" applyNumberFormat="1" applyFont="1" applyFill="1" applyBorder="1" applyAlignment="1">
      <alignment horizontal="center" vertical="center" textRotation="90"/>
    </xf>
    <xf numFmtId="2" fontId="29" fillId="2" borderId="7" xfId="0" applyNumberFormat="1" applyFont="1" applyFill="1" applyBorder="1" applyAlignment="1">
      <alignment horizontal="center" vertical="center" textRotation="90"/>
    </xf>
    <xf numFmtId="2" fontId="26" fillId="2" borderId="9" xfId="0" applyNumberFormat="1" applyFont="1" applyFill="1" applyBorder="1" applyAlignment="1">
      <alignment vertical="center" textRotation="90"/>
    </xf>
    <xf numFmtId="2" fontId="26" fillId="2" borderId="6" xfId="0" applyNumberFormat="1" applyFont="1" applyFill="1" applyBorder="1" applyAlignment="1">
      <alignment vertical="center" textRotation="90"/>
    </xf>
    <xf numFmtId="2" fontId="26" fillId="2" borderId="32" xfId="0" applyNumberFormat="1" applyFont="1" applyFill="1" applyBorder="1" applyAlignment="1">
      <alignment horizontal="center" vertical="center" textRotation="90"/>
    </xf>
    <xf numFmtId="2" fontId="26" fillId="2" borderId="23" xfId="0" applyNumberFormat="1" applyFont="1" applyFill="1" applyBorder="1" applyAlignment="1">
      <alignment horizontal="center" vertical="center" textRotation="90"/>
    </xf>
    <xf numFmtId="2" fontId="26" fillId="2" borderId="6" xfId="0" applyNumberFormat="1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K27" sqref="K27"/>
    </sheetView>
  </sheetViews>
  <sheetFormatPr defaultColWidth="9.33203125" defaultRowHeight="12.75"/>
  <cols>
    <col min="1" max="1" width="12.5" style="22" customWidth="1"/>
    <col min="2" max="2" width="9.5" style="22" customWidth="1"/>
    <col min="3" max="16384" width="9.33203125" style="22" customWidth="1"/>
  </cols>
  <sheetData>
    <row r="1" spans="1:18" ht="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  <c r="O1" s="186"/>
      <c r="P1" s="184"/>
      <c r="Q1" s="184"/>
      <c r="R1" s="183"/>
    </row>
    <row r="2" spans="1:18" ht="15.75">
      <c r="A2" s="210" t="s">
        <v>142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6"/>
      <c r="O2" s="186"/>
      <c r="P2" s="184"/>
      <c r="Q2" s="184"/>
      <c r="R2" s="183"/>
    </row>
    <row r="3" spans="1:18" ht="15">
      <c r="A3" s="187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86"/>
      <c r="P3" s="184"/>
      <c r="Q3" s="184"/>
      <c r="R3" s="183"/>
    </row>
    <row r="4" spans="1:18" ht="30.75" customHeight="1">
      <c r="A4" s="211" t="s">
        <v>139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186"/>
      <c r="O4" s="186"/>
      <c r="P4" s="184"/>
      <c r="Q4" s="184"/>
      <c r="R4" s="183"/>
    </row>
    <row r="5" spans="1:18" ht="15">
      <c r="A5" s="185" t="s">
        <v>125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O5" s="186"/>
      <c r="P5" s="184"/>
      <c r="Q5" s="184"/>
      <c r="R5" s="183"/>
    </row>
    <row r="6" spans="1:18" ht="10.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  <c r="O6" s="186"/>
      <c r="P6" s="184"/>
      <c r="Q6" s="184"/>
      <c r="R6" s="183"/>
    </row>
    <row r="7" spans="1:18" ht="13.5" customHeight="1">
      <c r="A7" s="187" t="s">
        <v>129</v>
      </c>
      <c r="B7" s="185" t="s">
        <v>130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  <c r="O7" s="186"/>
      <c r="P7" s="184"/>
      <c r="Q7" s="184"/>
      <c r="R7" s="183"/>
    </row>
    <row r="8" spans="1:18" ht="22.5" customHeight="1">
      <c r="A8" s="185"/>
      <c r="B8" s="211" t="s">
        <v>148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186"/>
      <c r="O8" s="186"/>
      <c r="P8" s="184"/>
      <c r="Q8" s="184"/>
      <c r="R8" s="183"/>
    </row>
    <row r="9" spans="1:18" ht="15" customHeight="1">
      <c r="A9" s="185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186"/>
      <c r="O9" s="186"/>
      <c r="P9" s="184"/>
      <c r="Q9" s="184"/>
      <c r="R9" s="183"/>
    </row>
    <row r="10" spans="1:18" ht="15" customHeight="1">
      <c r="A10" s="185"/>
      <c r="B10" s="211" t="s">
        <v>149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186"/>
      <c r="O10" s="186"/>
      <c r="P10" s="184"/>
      <c r="Q10" s="184"/>
      <c r="R10" s="183"/>
    </row>
    <row r="11" spans="1:18" ht="24" customHeight="1">
      <c r="A11" s="185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186"/>
      <c r="O11" s="186"/>
      <c r="P11" s="184"/>
      <c r="Q11" s="184"/>
      <c r="R11" s="183"/>
    </row>
    <row r="12" spans="1:18" ht="15">
      <c r="A12" s="185"/>
      <c r="B12" s="211" t="s">
        <v>150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186"/>
      <c r="O12" s="186"/>
      <c r="P12" s="184"/>
      <c r="Q12" s="184"/>
      <c r="R12" s="183"/>
    </row>
    <row r="13" spans="1:18" ht="44.25" customHeight="1">
      <c r="A13" s="185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186"/>
      <c r="O13" s="186"/>
      <c r="P13" s="184"/>
      <c r="Q13" s="184"/>
      <c r="R13" s="183"/>
    </row>
    <row r="14" spans="1:18" ht="71.25" customHeight="1">
      <c r="A14" s="185"/>
      <c r="B14" s="211" t="s">
        <v>151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186"/>
      <c r="O14" s="186"/>
      <c r="P14" s="184"/>
      <c r="Q14" s="184"/>
      <c r="R14" s="183"/>
    </row>
    <row r="15" spans="1:18" ht="15">
      <c r="A15" s="185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86"/>
      <c r="O15" s="186"/>
      <c r="P15" s="184"/>
      <c r="Q15" s="184"/>
      <c r="R15" s="183"/>
    </row>
    <row r="16" spans="1:18" ht="15">
      <c r="A16" s="187" t="s">
        <v>134</v>
      </c>
      <c r="B16" s="185" t="s">
        <v>126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  <c r="O16" s="186"/>
      <c r="P16" s="184"/>
      <c r="Q16" s="184"/>
      <c r="R16" s="183"/>
    </row>
    <row r="17" spans="1:18" ht="15">
      <c r="A17" s="185"/>
      <c r="B17" s="185" t="s">
        <v>152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/>
      <c r="O17" s="186"/>
      <c r="P17" s="184"/>
      <c r="Q17" s="184"/>
      <c r="R17" s="183"/>
    </row>
    <row r="18" spans="1:18" ht="15">
      <c r="A18" s="185"/>
      <c r="B18" s="185" t="s">
        <v>128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  <c r="O18" s="186"/>
      <c r="P18" s="184"/>
      <c r="Q18" s="184"/>
      <c r="R18" s="183"/>
    </row>
    <row r="19" spans="1:18" ht="15">
      <c r="A19" s="185"/>
      <c r="B19" s="187" t="s">
        <v>15</v>
      </c>
      <c r="C19" s="187" t="s">
        <v>17</v>
      </c>
      <c r="D19" s="187" t="s">
        <v>10</v>
      </c>
      <c r="E19" s="187" t="s">
        <v>20</v>
      </c>
      <c r="F19" s="187" t="s">
        <v>21</v>
      </c>
      <c r="G19" s="185" t="s">
        <v>153</v>
      </c>
      <c r="H19" s="185"/>
      <c r="I19" s="185"/>
      <c r="J19" s="185"/>
      <c r="K19" s="185"/>
      <c r="L19" s="185"/>
      <c r="M19" s="185"/>
      <c r="N19" s="186"/>
      <c r="O19" s="186"/>
      <c r="P19" s="184"/>
      <c r="Q19" s="184"/>
      <c r="R19" s="183"/>
    </row>
    <row r="20" spans="1:18" ht="15">
      <c r="A20" s="185"/>
      <c r="B20" s="187" t="s">
        <v>15</v>
      </c>
      <c r="C20" s="187" t="s">
        <v>16</v>
      </c>
      <c r="D20" s="187" t="s">
        <v>18</v>
      </c>
      <c r="E20" s="187" t="s">
        <v>19</v>
      </c>
      <c r="F20" s="187" t="s">
        <v>21</v>
      </c>
      <c r="G20" s="185" t="s">
        <v>143</v>
      </c>
      <c r="H20" s="185"/>
      <c r="I20" s="185"/>
      <c r="J20" s="185"/>
      <c r="K20" s="185"/>
      <c r="L20" s="185"/>
      <c r="M20" s="185"/>
      <c r="N20" s="186"/>
      <c r="O20" s="186"/>
      <c r="P20" s="184"/>
      <c r="Q20" s="184"/>
      <c r="R20" s="183"/>
    </row>
    <row r="21" spans="1:18" ht="1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  <c r="O21" s="186"/>
      <c r="P21" s="184"/>
      <c r="Q21" s="184"/>
      <c r="R21" s="183"/>
    </row>
    <row r="22" spans="1:18" ht="15">
      <c r="A22" s="185"/>
      <c r="B22" s="212" t="s">
        <v>154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6"/>
      <c r="P22" s="184"/>
      <c r="Q22" s="184"/>
      <c r="R22" s="183"/>
    </row>
    <row r="23" spans="1:18" ht="15">
      <c r="A23" s="185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186"/>
      <c r="P23" s="184"/>
      <c r="Q23" s="184"/>
      <c r="R23" s="183"/>
    </row>
    <row r="24" spans="1:18" ht="15">
      <c r="A24" s="187" t="s">
        <v>135</v>
      </c>
      <c r="B24" s="185" t="s">
        <v>144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6"/>
      <c r="O24" s="186"/>
      <c r="P24" s="184"/>
      <c r="Q24" s="184"/>
      <c r="R24" s="183"/>
    </row>
    <row r="25" spans="1:18" ht="15">
      <c r="A25" s="186"/>
      <c r="B25" s="186"/>
      <c r="C25" s="186"/>
      <c r="D25" s="186"/>
      <c r="E25" s="186"/>
      <c r="F25" s="186"/>
      <c r="G25" s="186"/>
      <c r="H25" s="186"/>
      <c r="I25" s="186"/>
      <c r="J25" s="185"/>
      <c r="K25" s="185"/>
      <c r="L25" s="185"/>
      <c r="M25" s="185"/>
      <c r="N25" s="186"/>
      <c r="O25" s="186"/>
      <c r="P25" s="184"/>
      <c r="Q25" s="184"/>
      <c r="R25" s="183"/>
    </row>
    <row r="26" spans="1:18" ht="15">
      <c r="A26" s="186"/>
      <c r="B26" s="186"/>
      <c r="C26" s="186"/>
      <c r="D26" s="186"/>
      <c r="E26" s="186"/>
      <c r="F26" s="186"/>
      <c r="G26" s="186"/>
      <c r="H26" s="186"/>
      <c r="I26" s="186"/>
      <c r="J26" s="185"/>
      <c r="K26" s="185"/>
      <c r="L26" s="185"/>
      <c r="M26" s="185"/>
      <c r="N26" s="186"/>
      <c r="O26" s="186"/>
      <c r="P26" s="184"/>
      <c r="Q26" s="184"/>
      <c r="R26" s="183"/>
    </row>
    <row r="27" spans="1:18" ht="15">
      <c r="A27" s="186"/>
      <c r="B27" s="186"/>
      <c r="C27" s="186"/>
      <c r="D27" s="186"/>
      <c r="E27" s="186"/>
      <c r="F27" s="186"/>
      <c r="G27" s="186"/>
      <c r="H27" s="186"/>
      <c r="I27" s="186"/>
      <c r="J27" s="185"/>
      <c r="K27" s="185" t="s">
        <v>145</v>
      </c>
      <c r="L27" s="185"/>
      <c r="M27" s="185"/>
      <c r="N27" s="186"/>
      <c r="O27" s="186"/>
      <c r="P27" s="184"/>
      <c r="Q27" s="184"/>
      <c r="R27" s="183"/>
    </row>
    <row r="28" spans="1:18" ht="15">
      <c r="A28" s="186"/>
      <c r="B28" s="186"/>
      <c r="C28" s="186"/>
      <c r="D28" s="186"/>
      <c r="E28" s="186"/>
      <c r="F28" s="186"/>
      <c r="G28" s="186"/>
      <c r="H28" s="186"/>
      <c r="I28" s="186"/>
      <c r="J28" s="185" t="s">
        <v>147</v>
      </c>
      <c r="K28" s="185"/>
      <c r="L28" s="185"/>
      <c r="M28" s="185"/>
      <c r="N28" s="186"/>
      <c r="O28" s="186"/>
      <c r="P28" s="184"/>
      <c r="Q28" s="184"/>
      <c r="R28" s="183"/>
    </row>
    <row r="29" spans="1:18" ht="15">
      <c r="A29" s="186"/>
      <c r="B29" s="186"/>
      <c r="C29" s="186"/>
      <c r="D29" s="186"/>
      <c r="E29" s="186"/>
      <c r="F29" s="186"/>
      <c r="G29" s="186"/>
      <c r="H29" s="186"/>
      <c r="I29" s="186"/>
      <c r="J29" s="185" t="s">
        <v>146</v>
      </c>
      <c r="K29" s="186"/>
      <c r="L29" s="186"/>
      <c r="M29" s="186"/>
      <c r="N29" s="186"/>
      <c r="O29" s="186"/>
      <c r="P29" s="184"/>
      <c r="Q29" s="184"/>
      <c r="R29" s="183"/>
    </row>
    <row r="30" spans="1:18" ht="1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4"/>
      <c r="Q30" s="184"/>
      <c r="R30" s="183"/>
    </row>
    <row r="31" spans="1:18" ht="1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</row>
  </sheetData>
  <sheetProtection sheet="1" objects="1" scenarios="1"/>
  <mergeCells count="7">
    <mergeCell ref="A2:M2"/>
    <mergeCell ref="B8:M9"/>
    <mergeCell ref="B12:M13"/>
    <mergeCell ref="B22:N23"/>
    <mergeCell ref="B14:M15"/>
    <mergeCell ref="B10:M11"/>
    <mergeCell ref="A4:M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5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8"/>
  <sheetViews>
    <sheetView workbookViewId="0" topLeftCell="A1">
      <selection activeCell="C8" sqref="C8"/>
    </sheetView>
  </sheetViews>
  <sheetFormatPr defaultColWidth="9.33203125" defaultRowHeight="12.75"/>
  <cols>
    <col min="1" max="1" width="1.83203125" style="42" customWidth="1"/>
    <col min="2" max="2" width="17.83203125" style="42" customWidth="1"/>
    <col min="3" max="3" width="15.33203125" style="42" customWidth="1"/>
    <col min="4" max="8" width="16" style="49" customWidth="1"/>
    <col min="9" max="16384" width="9.33203125" style="42" customWidth="1"/>
  </cols>
  <sheetData>
    <row r="1" ht="8.25" customHeight="1" thickBot="1"/>
    <row r="2" spans="2:8" ht="12.75">
      <c r="B2" s="222" t="s">
        <v>58</v>
      </c>
      <c r="C2" s="223"/>
      <c r="D2" s="223"/>
      <c r="E2" s="223"/>
      <c r="F2" s="223"/>
      <c r="G2" s="223"/>
      <c r="H2" s="224"/>
    </row>
    <row r="3" spans="2:8" ht="13.5" customHeight="1" thickBot="1">
      <c r="B3" s="225"/>
      <c r="C3" s="226"/>
      <c r="D3" s="226"/>
      <c r="E3" s="226"/>
      <c r="F3" s="226"/>
      <c r="G3" s="226"/>
      <c r="H3" s="227"/>
    </row>
    <row r="4" spans="2:8" ht="18">
      <c r="B4" s="109" t="s">
        <v>59</v>
      </c>
      <c r="C4" s="234"/>
      <c r="D4" s="235"/>
      <c r="E4" s="110" t="s">
        <v>60</v>
      </c>
      <c r="F4" s="236"/>
      <c r="G4" s="236"/>
      <c r="H4" s="237"/>
    </row>
    <row r="5" spans="2:8" ht="18">
      <c r="B5" s="111" t="s">
        <v>61</v>
      </c>
      <c r="C5" s="214"/>
      <c r="D5" s="215"/>
      <c r="E5" s="215"/>
      <c r="F5" s="215"/>
      <c r="G5" s="215"/>
      <c r="H5" s="216"/>
    </row>
    <row r="6" spans="2:8" ht="18">
      <c r="B6" s="111" t="s">
        <v>62</v>
      </c>
      <c r="C6" s="214"/>
      <c r="D6" s="215"/>
      <c r="E6" s="215"/>
      <c r="F6" s="215"/>
      <c r="G6" s="215"/>
      <c r="H6" s="216"/>
    </row>
    <row r="7" spans="2:8" ht="18">
      <c r="B7" s="111" t="s">
        <v>63</v>
      </c>
      <c r="C7" s="214"/>
      <c r="D7" s="215"/>
      <c r="E7" s="215"/>
      <c r="F7" s="215"/>
      <c r="G7" s="215"/>
      <c r="H7" s="216"/>
    </row>
    <row r="8" spans="2:8" ht="21.75" customHeight="1">
      <c r="B8" s="112" t="s">
        <v>140</v>
      </c>
      <c r="C8" s="68" t="s">
        <v>11</v>
      </c>
      <c r="D8" s="219" t="s">
        <v>141</v>
      </c>
      <c r="E8" s="220"/>
      <c r="F8" s="220"/>
      <c r="G8" s="220"/>
      <c r="H8" s="221"/>
    </row>
    <row r="9" spans="2:8" ht="18">
      <c r="B9" s="231" t="s">
        <v>64</v>
      </c>
      <c r="C9" s="232"/>
      <c r="D9" s="232"/>
      <c r="E9" s="232"/>
      <c r="F9" s="232"/>
      <c r="G9" s="232"/>
      <c r="H9" s="233"/>
    </row>
    <row r="10" spans="2:8" ht="19.5" customHeight="1">
      <c r="B10" s="43" t="s">
        <v>65</v>
      </c>
      <c r="C10" s="208" t="s">
        <v>66</v>
      </c>
      <c r="D10" s="208"/>
      <c r="E10" s="208"/>
      <c r="F10" s="208"/>
      <c r="G10" s="208"/>
      <c r="H10" s="209"/>
    </row>
    <row r="11" spans="2:8" ht="19.5" customHeight="1">
      <c r="B11" s="43"/>
      <c r="C11" s="44"/>
      <c r="D11" s="44" t="str">
        <f>IF($C$8="G","B",IF($C$8="S","A","Errato"))</f>
        <v>B</v>
      </c>
      <c r="E11" s="44" t="str">
        <f>IF($C$8="G","M",IF($C$8="S","B","Errato"))</f>
        <v>M</v>
      </c>
      <c r="F11" s="44" t="str">
        <f>IF($C$8="G","S",IF($C$8="S","C","Errato"))</f>
        <v>S</v>
      </c>
      <c r="G11" s="44" t="str">
        <f>IF($C$8="G","E",IF($C$8="S","D","Errato"))</f>
        <v>E</v>
      </c>
      <c r="H11" s="113" t="str">
        <f>IF($C$8="G","N",IF($C$8="S","N","Errato"))</f>
        <v>N</v>
      </c>
    </row>
    <row r="12" spans="2:8" ht="19.5" customHeight="1">
      <c r="B12" s="69">
        <v>1</v>
      </c>
      <c r="C12" s="70"/>
      <c r="D12" s="71">
        <f>B12</f>
        <v>1</v>
      </c>
      <c r="E12" s="71">
        <f>B12*0.75</f>
        <v>0.75</v>
      </c>
      <c r="F12" s="71">
        <f>B12*0.5</f>
        <v>0.5</v>
      </c>
      <c r="G12" s="71">
        <f>B12*0.25</f>
        <v>0.25</v>
      </c>
      <c r="H12" s="114">
        <v>0</v>
      </c>
    </row>
    <row r="13" spans="2:11" ht="38.25">
      <c r="B13" s="72" t="s">
        <v>67</v>
      </c>
      <c r="C13" s="73" t="s">
        <v>68</v>
      </c>
      <c r="D13" s="74" t="s">
        <v>69</v>
      </c>
      <c r="E13" s="74" t="s">
        <v>70</v>
      </c>
      <c r="F13" s="74" t="s">
        <v>71</v>
      </c>
      <c r="G13" s="74" t="s">
        <v>72</v>
      </c>
      <c r="H13" s="115" t="s">
        <v>73</v>
      </c>
      <c r="I13" s="45"/>
      <c r="J13" s="45"/>
      <c r="K13" s="45"/>
    </row>
    <row r="14" spans="2:10" ht="12.75">
      <c r="B14" s="75">
        <v>1</v>
      </c>
      <c r="C14" s="76"/>
      <c r="D14" s="77">
        <f>B14</f>
        <v>1</v>
      </c>
      <c r="E14" s="77">
        <f>B14*0.75</f>
        <v>0.75</v>
      </c>
      <c r="F14" s="77">
        <f>B14*0.5</f>
        <v>0.5</v>
      </c>
      <c r="G14" s="77">
        <f>B14*0.25</f>
        <v>0.25</v>
      </c>
      <c r="H14" s="116">
        <v>0</v>
      </c>
      <c r="I14" s="46"/>
      <c r="J14" s="46"/>
    </row>
    <row r="15" spans="2:10" ht="38.25">
      <c r="B15" s="78" t="s">
        <v>74</v>
      </c>
      <c r="C15" s="79" t="s">
        <v>75</v>
      </c>
      <c r="D15" s="80" t="s">
        <v>76</v>
      </c>
      <c r="E15" s="80" t="s">
        <v>77</v>
      </c>
      <c r="F15" s="80" t="s">
        <v>78</v>
      </c>
      <c r="G15" s="80" t="s">
        <v>79</v>
      </c>
      <c r="H15" s="117" t="s">
        <v>80</v>
      </c>
      <c r="I15" s="46"/>
      <c r="J15" s="46"/>
    </row>
    <row r="16" spans="2:10" ht="12.75">
      <c r="B16" s="81">
        <v>1</v>
      </c>
      <c r="C16" s="82"/>
      <c r="D16" s="83">
        <f>B16</f>
        <v>1</v>
      </c>
      <c r="E16" s="83">
        <f>B16*0.75</f>
        <v>0.75</v>
      </c>
      <c r="F16" s="83">
        <f>B16*0.5</f>
        <v>0.5</v>
      </c>
      <c r="G16" s="83">
        <f>B16*0.25</f>
        <v>0.25</v>
      </c>
      <c r="H16" s="118">
        <v>0</v>
      </c>
      <c r="I16" s="46"/>
      <c r="J16" s="46"/>
    </row>
    <row r="17" spans="2:10" ht="51">
      <c r="B17" s="84" t="s">
        <v>81</v>
      </c>
      <c r="C17" s="85" t="s">
        <v>82</v>
      </c>
      <c r="D17" s="86" t="s">
        <v>83</v>
      </c>
      <c r="E17" s="86" t="s">
        <v>84</v>
      </c>
      <c r="F17" s="86" t="s">
        <v>85</v>
      </c>
      <c r="G17" s="86" t="s">
        <v>86</v>
      </c>
      <c r="H17" s="119" t="s">
        <v>87</v>
      </c>
      <c r="I17" s="46"/>
      <c r="J17" s="46"/>
    </row>
    <row r="18" spans="2:10" ht="12.75">
      <c r="B18" s="87">
        <v>1</v>
      </c>
      <c r="C18" s="88"/>
      <c r="D18" s="89">
        <f>B18</f>
        <v>1</v>
      </c>
      <c r="E18" s="89">
        <f>B18*0.75</f>
        <v>0.75</v>
      </c>
      <c r="F18" s="89">
        <f>B18*0.5</f>
        <v>0.5</v>
      </c>
      <c r="G18" s="89">
        <f>B18*0.25</f>
        <v>0.25</v>
      </c>
      <c r="H18" s="120">
        <v>0</v>
      </c>
      <c r="I18" s="46"/>
      <c r="J18" s="46"/>
    </row>
    <row r="19" spans="2:8" ht="51">
      <c r="B19" s="90" t="s">
        <v>88</v>
      </c>
      <c r="C19" s="91" t="s">
        <v>89</v>
      </c>
      <c r="D19" s="92" t="s">
        <v>90</v>
      </c>
      <c r="E19" s="92" t="s">
        <v>91</v>
      </c>
      <c r="F19" s="92" t="s">
        <v>92</v>
      </c>
      <c r="G19" s="92" t="s">
        <v>93</v>
      </c>
      <c r="H19" s="121" t="s">
        <v>94</v>
      </c>
    </row>
    <row r="20" spans="2:8" ht="12.75">
      <c r="B20" s="93">
        <v>1</v>
      </c>
      <c r="C20" s="94"/>
      <c r="D20" s="95">
        <f>B20</f>
        <v>1</v>
      </c>
      <c r="E20" s="95">
        <f>B20*0.75</f>
        <v>0.75</v>
      </c>
      <c r="F20" s="95">
        <f>B20*0.5</f>
        <v>0.5</v>
      </c>
      <c r="G20" s="95">
        <f>B20*0.25</f>
        <v>0.25</v>
      </c>
      <c r="H20" s="122">
        <v>0</v>
      </c>
    </row>
    <row r="21" spans="2:8" ht="63.75">
      <c r="B21" s="96" t="s">
        <v>95</v>
      </c>
      <c r="C21" s="97" t="s">
        <v>96</v>
      </c>
      <c r="D21" s="98" t="s">
        <v>97</v>
      </c>
      <c r="E21" s="98" t="s">
        <v>98</v>
      </c>
      <c r="F21" s="98" t="s">
        <v>99</v>
      </c>
      <c r="G21" s="98" t="s">
        <v>100</v>
      </c>
      <c r="H21" s="123" t="s">
        <v>101</v>
      </c>
    </row>
    <row r="22" spans="2:8" ht="12.75">
      <c r="B22" s="99">
        <v>1</v>
      </c>
      <c r="C22" s="100"/>
      <c r="D22" s="101">
        <f>B22</f>
        <v>1</v>
      </c>
      <c r="E22" s="101">
        <f>B22*0.75</f>
        <v>0.75</v>
      </c>
      <c r="F22" s="101">
        <f>B22*0.5</f>
        <v>0.5</v>
      </c>
      <c r="G22" s="101">
        <f>B22*0.25</f>
        <v>0.25</v>
      </c>
      <c r="H22" s="124">
        <v>0</v>
      </c>
    </row>
    <row r="23" spans="2:8" ht="76.5">
      <c r="B23" s="102" t="s">
        <v>102</v>
      </c>
      <c r="C23" s="103" t="s">
        <v>103</v>
      </c>
      <c r="D23" s="104" t="s">
        <v>104</v>
      </c>
      <c r="E23" s="104" t="s">
        <v>105</v>
      </c>
      <c r="F23" s="104" t="s">
        <v>106</v>
      </c>
      <c r="G23" s="104" t="s">
        <v>107</v>
      </c>
      <c r="H23" s="125" t="s">
        <v>108</v>
      </c>
    </row>
    <row r="24" spans="2:8" ht="16.5" thickBot="1">
      <c r="B24" s="47"/>
      <c r="C24" s="229" t="s">
        <v>131</v>
      </c>
      <c r="D24" s="229"/>
      <c r="E24" s="48">
        <f>SUM(D12:D23)</f>
        <v>6</v>
      </c>
      <c r="F24" s="229" t="s">
        <v>123</v>
      </c>
      <c r="G24" s="229"/>
      <c r="H24" s="230"/>
    </row>
    <row r="26" spans="7:8" ht="15.75">
      <c r="G26" s="50"/>
      <c r="H26" s="50"/>
    </row>
    <row r="27" spans="7:8" ht="15.75">
      <c r="G27" s="50"/>
      <c r="H27" s="50"/>
    </row>
    <row r="28" spans="7:8" ht="15.75">
      <c r="G28" s="50"/>
      <c r="H28" s="50"/>
    </row>
    <row r="29" spans="7:8" ht="12.75">
      <c r="G29" s="51"/>
      <c r="H29" s="51"/>
    </row>
    <row r="30" spans="7:8" ht="15.75">
      <c r="G30" s="52"/>
      <c r="H30" s="51"/>
    </row>
    <row r="31" spans="7:8" ht="15.75">
      <c r="G31" s="50"/>
      <c r="H31" s="50"/>
    </row>
    <row r="32" spans="7:8" ht="15.75">
      <c r="G32" s="50"/>
      <c r="H32" s="50"/>
    </row>
    <row r="33" spans="7:8" ht="15.75">
      <c r="G33" s="50"/>
      <c r="H33" s="50"/>
    </row>
    <row r="34" spans="3:5" ht="15.75">
      <c r="C34" s="228"/>
      <c r="D34" s="228"/>
      <c r="E34" s="53"/>
    </row>
    <row r="35" spans="3:5" ht="15.75">
      <c r="C35" s="54"/>
      <c r="D35" s="55"/>
      <c r="E35" s="55"/>
    </row>
    <row r="101" spans="2:8" ht="13.5">
      <c r="B101" s="217" t="s">
        <v>66</v>
      </c>
      <c r="C101" s="218"/>
      <c r="D101" s="61">
        <f>D12</f>
        <v>1</v>
      </c>
      <c r="E101" s="61">
        <f>G12</f>
        <v>0.25</v>
      </c>
      <c r="F101" s="61">
        <f>E12</f>
        <v>0.75</v>
      </c>
      <c r="G101" s="61">
        <f>H12</f>
        <v>0</v>
      </c>
      <c r="H101" s="61">
        <f>F12</f>
        <v>0.5</v>
      </c>
    </row>
    <row r="102" spans="2:8" ht="13.5">
      <c r="B102" s="217" t="s">
        <v>65</v>
      </c>
      <c r="C102" s="218"/>
      <c r="D102" s="56" t="s">
        <v>16</v>
      </c>
      <c r="E102" s="56" t="s">
        <v>20</v>
      </c>
      <c r="F102" s="56" t="s">
        <v>17</v>
      </c>
      <c r="G102" s="56" t="s">
        <v>21</v>
      </c>
      <c r="H102" s="56" t="s">
        <v>10</v>
      </c>
    </row>
    <row r="103" spans="2:8" ht="27">
      <c r="B103" s="57" t="str">
        <f>B13</f>
        <v>ESPRESSIONE</v>
      </c>
      <c r="C103" s="57" t="str">
        <f>C13</f>
        <v>si esprime con linguaggio</v>
      </c>
      <c r="D103" s="58" t="str">
        <f>D13</f>
        <v>adeguato, ricco, fluido</v>
      </c>
      <c r="E103" s="58" t="str">
        <f>G13</f>
        <v>spesso scorretto o   inadeguato</v>
      </c>
      <c r="F103" s="58" t="str">
        <f>E13</f>
        <v>corretta e adeguato</v>
      </c>
      <c r="G103" s="58" t="str">
        <f>H13</f>
        <v>sempre scorretto o inadeguato</v>
      </c>
      <c r="H103" s="58" t="str">
        <f>F13</f>
        <v>non sempre corretta e appropriato</v>
      </c>
    </row>
    <row r="104" spans="2:8" ht="27">
      <c r="B104" s="57" t="str">
        <f>B15</f>
        <v>ESPOSIZIONE</v>
      </c>
      <c r="C104" s="57" t="str">
        <f>C15</f>
        <v>articola il discorso in modo</v>
      </c>
      <c r="D104" s="58" t="str">
        <f>D15</f>
        <v>adeguato, ricco, organico</v>
      </c>
      <c r="E104" s="58" t="str">
        <f>G15</f>
        <v>spesso incoerente</v>
      </c>
      <c r="F104" s="58" t="str">
        <f>E15</f>
        <v>semplice ma coerente</v>
      </c>
      <c r="G104" s="58" t="str">
        <f>H15</f>
        <v>sempre incoerente</v>
      </c>
      <c r="H104" s="58" t="str">
        <f>F15</f>
        <v>talvolta poco coerente</v>
      </c>
    </row>
    <row r="105" spans="2:8" ht="40.5">
      <c r="B105" s="57" t="str">
        <f>B17</f>
        <v>CONOSCENZE</v>
      </c>
      <c r="C105" s="57" t="str">
        <f>C17</f>
        <v>conosce i temi proposti in modo</v>
      </c>
      <c r="D105" s="58" t="str">
        <f>D17</f>
        <v>ampio  e approfondito</v>
      </c>
      <c r="E105" s="58" t="str">
        <f>G17</f>
        <v>solo parziale e non sempre corretto</v>
      </c>
      <c r="F105" s="58" t="str">
        <f>E17</f>
        <v>corretto ma limitato al manuale</v>
      </c>
      <c r="G105" s="58" t="str">
        <f>H17</f>
        <v>lacunoso e scorretto</v>
      </c>
      <c r="H105" s="58" t="str">
        <f>F17</f>
        <v>quasi sempre corretto, con alcune imprecisioni o lacune</v>
      </c>
    </row>
    <row r="106" spans="2:8" ht="40.5">
      <c r="B106" s="57" t="str">
        <f>B19</f>
        <v>COMPETENZE DI ANALISI</v>
      </c>
      <c r="C106" s="57" t="str">
        <f>C19</f>
        <v>sa / non sa analizzare</v>
      </c>
      <c r="D106" s="58" t="str">
        <f>D19</f>
        <v>sa analizzare i vari aspetti significativi del problema posto</v>
      </c>
      <c r="E106" s="58" t="str">
        <f>G19</f>
        <v>non sa analizzare gli aspetti significativi del problema posto</v>
      </c>
      <c r="F106" s="58" t="str">
        <f>E19</f>
        <v>sa analizzare alcuni aspetti significativi del problema posto</v>
      </c>
      <c r="G106" s="58" t="str">
        <f>H19</f>
        <v>non sa individuare gli aspetti significativi del problema posto</v>
      </c>
      <c r="H106" s="58" t="str">
        <f>F19</f>
        <v>sa analizzare pochi aspetti significativi del problema posto</v>
      </c>
    </row>
    <row r="107" spans="2:8" ht="54">
      <c r="B107" s="57" t="str">
        <f>B21</f>
        <v>COMPETENZE DI SINTESI</v>
      </c>
      <c r="C107" s="57" t="str">
        <f>C21</f>
        <v>sa / non sa individuare</v>
      </c>
      <c r="D107" s="58" t="str">
        <f>D21</f>
        <v>sa individuare concetti chiave e stabilire efficaci collegamenti</v>
      </c>
      <c r="E107" s="58" t="str">
        <f>G21</f>
        <v>sa individuare i concetti chiave ma non collegarli</v>
      </c>
      <c r="F107" s="58" t="str">
        <f>E21</f>
        <v>sa individuare i concetti chiave e stabilire semplici collegamenti</v>
      </c>
      <c r="G107" s="58" t="str">
        <f>H21</f>
        <v>non sa individuare i concetti chiave</v>
      </c>
      <c r="H107" s="58" t="str">
        <f>F21</f>
        <v>sa individuare i concetti chiave ma solo saltuariamente collegarli</v>
      </c>
    </row>
    <row r="108" spans="2:8" ht="67.5">
      <c r="B108" s="59" t="str">
        <f>B23</f>
        <v>CAPACITA' DI VALUTAZIONE</v>
      </c>
      <c r="C108" s="59" t="str">
        <f>C23</f>
        <v>esprime / non esprime giudizi</v>
      </c>
      <c r="D108" s="60" t="str">
        <f>D23</f>
        <v>esprime giudizi adeguati e li argomenta efficacemente</v>
      </c>
      <c r="E108" s="60" t="str">
        <f>G23</f>
        <v>esprime giudizi in forma definitoria e senza argomentazioni</v>
      </c>
      <c r="F108" s="60" t="str">
        <f>E23</f>
        <v>esprime giudizi adeguati ma non sempre li argomenta efficacemente</v>
      </c>
      <c r="G108" s="60" t="str">
        <f>H23</f>
        <v>non esprime giudizi personali</v>
      </c>
      <c r="H108" s="60" t="str">
        <f>F23</f>
        <v>esprime giudizi non sempre adeguati al tema proposto, e li argomenta poco efficacemente</v>
      </c>
    </row>
  </sheetData>
  <sheetProtection sheet="1" objects="1" scenarios="1"/>
  <mergeCells count="14">
    <mergeCell ref="B102:C102"/>
    <mergeCell ref="B2:H3"/>
    <mergeCell ref="C5:H5"/>
    <mergeCell ref="C34:D34"/>
    <mergeCell ref="C10:H10"/>
    <mergeCell ref="C24:D24"/>
    <mergeCell ref="F24:H24"/>
    <mergeCell ref="B9:H9"/>
    <mergeCell ref="C4:D4"/>
    <mergeCell ref="F4:H4"/>
    <mergeCell ref="C6:H6"/>
    <mergeCell ref="C7:H7"/>
    <mergeCell ref="B101:C101"/>
    <mergeCell ref="D8:H8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8"/>
  <sheetViews>
    <sheetView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4" sqref="L34"/>
    </sheetView>
  </sheetViews>
  <sheetFormatPr defaultColWidth="18.66015625" defaultRowHeight="12.75"/>
  <cols>
    <col min="1" max="3" width="7.66015625" style="0" customWidth="1"/>
    <col min="4" max="4" width="18.16015625" style="0" customWidth="1"/>
    <col min="5" max="22" width="9.33203125" style="0" customWidth="1"/>
    <col min="23" max="23" width="9.66015625" style="0" customWidth="1"/>
    <col min="24" max="26" width="7" style="0" customWidth="1"/>
    <col min="27" max="27" width="17.33203125" style="0" customWidth="1"/>
    <col min="28" max="28" width="8.33203125" style="0" customWidth="1"/>
    <col min="29" max="29" width="8.83203125" style="0" customWidth="1"/>
    <col min="30" max="31" width="7" style="0" customWidth="1"/>
    <col min="32" max="16384" width="9" style="0" customWidth="1"/>
  </cols>
  <sheetData>
    <row r="1" spans="1:32" s="3" customFormat="1" ht="27" customHeight="1">
      <c r="A1" s="202" t="s">
        <v>29</v>
      </c>
      <c r="B1" s="203"/>
      <c r="C1" s="203"/>
      <c r="D1" s="203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6"/>
      <c r="X1" s="241"/>
      <c r="Y1" s="242"/>
      <c r="Z1" s="243"/>
      <c r="AA1" s="2" t="s">
        <v>0</v>
      </c>
      <c r="AB1" s="1"/>
      <c r="AC1" s="1"/>
      <c r="AD1" s="1"/>
      <c r="AE1" s="1"/>
      <c r="AF1" s="1"/>
    </row>
    <row r="2" spans="1:32" s="3" customFormat="1" ht="28.5" customHeight="1">
      <c r="A2" s="238">
        <v>37575</v>
      </c>
      <c r="B2" s="238"/>
      <c r="C2" s="238"/>
      <c r="D2" s="203"/>
      <c r="E2" s="265" t="s">
        <v>109</v>
      </c>
      <c r="F2" s="266"/>
      <c r="G2" s="266"/>
      <c r="H2" s="266"/>
      <c r="I2" s="266"/>
      <c r="J2" s="266"/>
      <c r="K2" s="267" t="s">
        <v>110</v>
      </c>
      <c r="L2" s="267"/>
      <c r="M2" s="267"/>
      <c r="N2" s="267"/>
      <c r="O2" s="267"/>
      <c r="P2" s="267"/>
      <c r="Q2" s="268" t="s">
        <v>111</v>
      </c>
      <c r="R2" s="268"/>
      <c r="S2" s="268"/>
      <c r="T2" s="268"/>
      <c r="U2" s="268"/>
      <c r="V2" s="268"/>
      <c r="W2" s="262"/>
      <c r="X2" s="244"/>
      <c r="Y2" s="245"/>
      <c r="Z2" s="246"/>
      <c r="AA2" s="2"/>
      <c r="AB2" s="1"/>
      <c r="AC2" s="1"/>
      <c r="AD2" s="1"/>
      <c r="AE2" s="1"/>
      <c r="AF2" s="1"/>
    </row>
    <row r="3" spans="1:32" s="3" customFormat="1" ht="33.75">
      <c r="A3" s="203"/>
      <c r="B3" s="203"/>
      <c r="C3" s="203"/>
      <c r="D3" s="203"/>
      <c r="E3" s="198" t="s">
        <v>112</v>
      </c>
      <c r="F3" s="137" t="s">
        <v>113</v>
      </c>
      <c r="G3" s="137" t="s">
        <v>114</v>
      </c>
      <c r="H3" s="137" t="s">
        <v>118</v>
      </c>
      <c r="I3" s="137" t="s">
        <v>115</v>
      </c>
      <c r="J3" s="137" t="s">
        <v>116</v>
      </c>
      <c r="K3" s="138" t="s">
        <v>112</v>
      </c>
      <c r="L3" s="138" t="s">
        <v>113</v>
      </c>
      <c r="M3" s="138" t="s">
        <v>114</v>
      </c>
      <c r="N3" s="138" t="s">
        <v>118</v>
      </c>
      <c r="O3" s="138" t="s">
        <v>115</v>
      </c>
      <c r="P3" s="138" t="s">
        <v>116</v>
      </c>
      <c r="Q3" s="139" t="s">
        <v>112</v>
      </c>
      <c r="R3" s="139" t="s">
        <v>113</v>
      </c>
      <c r="S3" s="139" t="s">
        <v>114</v>
      </c>
      <c r="T3" s="139" t="s">
        <v>118</v>
      </c>
      <c r="U3" s="139" t="s">
        <v>115</v>
      </c>
      <c r="V3" s="139" t="s">
        <v>116</v>
      </c>
      <c r="W3" s="263"/>
      <c r="X3" s="244"/>
      <c r="Y3" s="245"/>
      <c r="Z3" s="246"/>
      <c r="AA3" s="1"/>
      <c r="AB3" s="1"/>
      <c r="AC3" s="2" t="s">
        <v>1</v>
      </c>
      <c r="AD3" s="2" t="s">
        <v>2</v>
      </c>
      <c r="AE3" s="1"/>
      <c r="AF3" s="1"/>
    </row>
    <row r="4" spans="1:32" s="3" customFormat="1" ht="28.5" customHeight="1">
      <c r="A4" s="199" t="s">
        <v>122</v>
      </c>
      <c r="B4" s="200" t="s">
        <v>137</v>
      </c>
      <c r="C4" s="200" t="s">
        <v>138</v>
      </c>
      <c r="D4" s="201" t="s">
        <v>136</v>
      </c>
      <c r="E4" s="143">
        <v>1</v>
      </c>
      <c r="F4" s="143">
        <v>2</v>
      </c>
      <c r="G4" s="143">
        <v>3</v>
      </c>
      <c r="H4" s="143">
        <v>4</v>
      </c>
      <c r="I4" s="143">
        <v>5</v>
      </c>
      <c r="J4" s="143">
        <v>6</v>
      </c>
      <c r="K4" s="143">
        <v>7</v>
      </c>
      <c r="L4" s="143">
        <v>8</v>
      </c>
      <c r="M4" s="143">
        <v>9</v>
      </c>
      <c r="N4" s="143">
        <v>10</v>
      </c>
      <c r="O4" s="143">
        <v>11</v>
      </c>
      <c r="P4" s="143">
        <v>12</v>
      </c>
      <c r="Q4" s="143">
        <v>13</v>
      </c>
      <c r="R4" s="143">
        <v>14</v>
      </c>
      <c r="S4" s="143">
        <v>15</v>
      </c>
      <c r="T4" s="143">
        <v>16</v>
      </c>
      <c r="U4" s="143">
        <v>17</v>
      </c>
      <c r="V4" s="143">
        <v>18</v>
      </c>
      <c r="W4" s="263"/>
      <c r="X4" s="244"/>
      <c r="Y4" s="245"/>
      <c r="Z4" s="246"/>
      <c r="AA4" t="s">
        <v>3</v>
      </c>
      <c r="AB4" s="3">
        <v>0</v>
      </c>
      <c r="AC4" s="1">
        <f>AB4*$X$78</f>
        <v>0</v>
      </c>
      <c r="AD4" s="1">
        <f aca="true" t="shared" si="0" ref="AD4:AD10">$U$71*AB4</f>
        <v>0</v>
      </c>
      <c r="AF4" s="1">
        <f>(AC10-AC5)/15</f>
        <v>0.7200000000000001</v>
      </c>
    </row>
    <row r="5" spans="1:32" ht="12.75">
      <c r="A5" s="145">
        <f>X38</f>
        <v>10</v>
      </c>
      <c r="B5" s="146">
        <f>Y38</f>
        <v>15</v>
      </c>
      <c r="C5" s="146">
        <f>Z38</f>
        <v>35</v>
      </c>
      <c r="D5" s="147" t="s">
        <v>31</v>
      </c>
      <c r="E5" s="108" t="s">
        <v>16</v>
      </c>
      <c r="F5" s="108" t="s">
        <v>16</v>
      </c>
      <c r="G5" s="108" t="s">
        <v>16</v>
      </c>
      <c r="H5" s="108" t="s">
        <v>16</v>
      </c>
      <c r="I5" s="108" t="s">
        <v>16</v>
      </c>
      <c r="J5" s="108" t="s">
        <v>16</v>
      </c>
      <c r="K5" s="107" t="s">
        <v>16</v>
      </c>
      <c r="L5" s="107" t="s">
        <v>16</v>
      </c>
      <c r="M5" s="107" t="s">
        <v>16</v>
      </c>
      <c r="N5" s="107" t="s">
        <v>16</v>
      </c>
      <c r="O5" s="107" t="s">
        <v>16</v>
      </c>
      <c r="P5" s="107" t="s">
        <v>16</v>
      </c>
      <c r="Q5" s="126" t="s">
        <v>16</v>
      </c>
      <c r="R5" s="126" t="s">
        <v>16</v>
      </c>
      <c r="S5" s="126" t="s">
        <v>16</v>
      </c>
      <c r="T5" s="126" t="s">
        <v>16</v>
      </c>
      <c r="U5" s="126" t="s">
        <v>16</v>
      </c>
      <c r="V5" s="126" t="s">
        <v>16</v>
      </c>
      <c r="W5" s="263"/>
      <c r="X5" s="244"/>
      <c r="Y5" s="245"/>
      <c r="Z5" s="246"/>
      <c r="AA5" s="2" t="s">
        <v>4</v>
      </c>
      <c r="AB5" s="1">
        <v>0.4</v>
      </c>
      <c r="AC5" s="1">
        <f aca="true" t="shared" si="1" ref="AC5:AC10">AB5*$X$78</f>
        <v>7.2</v>
      </c>
      <c r="AD5" s="1">
        <f t="shared" si="0"/>
        <v>0</v>
      </c>
      <c r="AE5" s="2"/>
      <c r="AF5" s="7">
        <f>(AD10-AD5)/24</f>
        <v>0</v>
      </c>
    </row>
    <row r="6" spans="1:32" ht="12.75">
      <c r="A6" s="145">
        <f aca="true" t="shared" si="2" ref="A6:A31">X39</f>
        <v>7.5</v>
      </c>
      <c r="B6" s="146">
        <f>Y39</f>
        <v>11.875</v>
      </c>
      <c r="C6" s="146">
        <f aca="true" t="shared" si="3" ref="C6:C31">Z39</f>
        <v>26.875</v>
      </c>
      <c r="D6" s="147" t="s">
        <v>32</v>
      </c>
      <c r="E6" s="108" t="s">
        <v>17</v>
      </c>
      <c r="F6" s="108" t="s">
        <v>17</v>
      </c>
      <c r="G6" s="108" t="s">
        <v>17</v>
      </c>
      <c r="H6" s="108" t="s">
        <v>17</v>
      </c>
      <c r="I6" s="108" t="s">
        <v>17</v>
      </c>
      <c r="J6" s="108" t="s">
        <v>17</v>
      </c>
      <c r="K6" s="107" t="s">
        <v>17</v>
      </c>
      <c r="L6" s="107" t="s">
        <v>17</v>
      </c>
      <c r="M6" s="107" t="s">
        <v>17</v>
      </c>
      <c r="N6" s="107" t="s">
        <v>17</v>
      </c>
      <c r="O6" s="107" t="s">
        <v>17</v>
      </c>
      <c r="P6" s="107" t="s">
        <v>17</v>
      </c>
      <c r="Q6" s="126" t="s">
        <v>17</v>
      </c>
      <c r="R6" s="126" t="s">
        <v>17</v>
      </c>
      <c r="S6" s="126" t="s">
        <v>17</v>
      </c>
      <c r="T6" s="126" t="s">
        <v>17</v>
      </c>
      <c r="U6" s="126" t="s">
        <v>17</v>
      </c>
      <c r="V6" s="126" t="s">
        <v>17</v>
      </c>
      <c r="W6" s="263"/>
      <c r="X6" s="244"/>
      <c r="Y6" s="245"/>
      <c r="Z6" s="246"/>
      <c r="AA6" s="8" t="s">
        <v>5</v>
      </c>
      <c r="AB6" s="7">
        <v>0.5</v>
      </c>
      <c r="AC6" s="1">
        <f t="shared" si="1"/>
        <v>9</v>
      </c>
      <c r="AD6" s="7">
        <f t="shared" si="0"/>
        <v>0</v>
      </c>
      <c r="AE6" s="8"/>
      <c r="AF6" s="7"/>
    </row>
    <row r="7" spans="1:32" ht="12.75">
      <c r="A7" s="145">
        <f t="shared" si="2"/>
        <v>5</v>
      </c>
      <c r="B7" s="146">
        <f aca="true" t="shared" si="4" ref="B7:B31">Y40</f>
        <v>8.333333333333334</v>
      </c>
      <c r="C7" s="146">
        <f t="shared" si="3"/>
        <v>18.333333333333332</v>
      </c>
      <c r="D7" s="147" t="s">
        <v>33</v>
      </c>
      <c r="E7" s="108" t="s">
        <v>10</v>
      </c>
      <c r="F7" s="108" t="s">
        <v>10</v>
      </c>
      <c r="G7" s="108" t="s">
        <v>10</v>
      </c>
      <c r="H7" s="108" t="s">
        <v>10</v>
      </c>
      <c r="I7" s="108" t="s">
        <v>10</v>
      </c>
      <c r="J7" s="108" t="s">
        <v>10</v>
      </c>
      <c r="K7" s="107" t="s">
        <v>10</v>
      </c>
      <c r="L7" s="107" t="s">
        <v>10</v>
      </c>
      <c r="M7" s="107" t="s">
        <v>10</v>
      </c>
      <c r="N7" s="107" t="s">
        <v>10</v>
      </c>
      <c r="O7" s="107" t="s">
        <v>10</v>
      </c>
      <c r="P7" s="107" t="s">
        <v>10</v>
      </c>
      <c r="Q7" s="126" t="s">
        <v>10</v>
      </c>
      <c r="R7" s="126" t="s">
        <v>10</v>
      </c>
      <c r="S7" s="126" t="s">
        <v>10</v>
      </c>
      <c r="T7" s="126" t="s">
        <v>10</v>
      </c>
      <c r="U7" s="126" t="s">
        <v>10</v>
      </c>
      <c r="V7" s="126" t="s">
        <v>10</v>
      </c>
      <c r="W7" s="263"/>
      <c r="X7" s="244"/>
      <c r="Y7" s="245"/>
      <c r="Z7" s="246"/>
      <c r="AA7" s="8" t="s">
        <v>6</v>
      </c>
      <c r="AB7" s="7">
        <v>0.6</v>
      </c>
      <c r="AC7" s="1">
        <f t="shared" si="1"/>
        <v>10.799999999999999</v>
      </c>
      <c r="AD7" s="7">
        <f t="shared" si="0"/>
        <v>0</v>
      </c>
      <c r="AE7" s="7"/>
      <c r="AF7" s="7"/>
    </row>
    <row r="8" spans="1:32" ht="12.75">
      <c r="A8" s="145">
        <f t="shared" si="2"/>
        <v>2.25</v>
      </c>
      <c r="B8" s="146">
        <f t="shared" si="4"/>
        <v>3.75</v>
      </c>
      <c r="C8" s="146">
        <f t="shared" si="3"/>
        <v>8.25</v>
      </c>
      <c r="D8" s="147" t="s">
        <v>34</v>
      </c>
      <c r="E8" s="108" t="s">
        <v>20</v>
      </c>
      <c r="F8" s="108" t="s">
        <v>20</v>
      </c>
      <c r="G8" s="108" t="s">
        <v>20</v>
      </c>
      <c r="H8" s="108" t="s">
        <v>20</v>
      </c>
      <c r="I8" s="108" t="s">
        <v>20</v>
      </c>
      <c r="J8" s="108" t="s">
        <v>20</v>
      </c>
      <c r="K8" s="107" t="s">
        <v>20</v>
      </c>
      <c r="L8" s="107" t="s">
        <v>20</v>
      </c>
      <c r="M8" s="107" t="s">
        <v>20</v>
      </c>
      <c r="N8" s="107" t="s">
        <v>20</v>
      </c>
      <c r="O8" s="107" t="s">
        <v>20</v>
      </c>
      <c r="P8" s="107" t="s">
        <v>20</v>
      </c>
      <c r="Q8" s="126" t="s">
        <v>20</v>
      </c>
      <c r="R8" s="126" t="s">
        <v>20</v>
      </c>
      <c r="S8" s="126" t="s">
        <v>20</v>
      </c>
      <c r="T8" s="126" t="s">
        <v>20</v>
      </c>
      <c r="U8" s="126" t="s">
        <v>20</v>
      </c>
      <c r="V8" s="126" t="s">
        <v>20</v>
      </c>
      <c r="W8" s="263"/>
      <c r="X8" s="244"/>
      <c r="Y8" s="245"/>
      <c r="Z8" s="246"/>
      <c r="AA8" s="8" t="s">
        <v>7</v>
      </c>
      <c r="AB8" s="7">
        <v>0.7</v>
      </c>
      <c r="AC8" s="1">
        <f t="shared" si="1"/>
        <v>12.6</v>
      </c>
      <c r="AD8" s="7">
        <f t="shared" si="0"/>
        <v>0</v>
      </c>
      <c r="AE8" s="7"/>
      <c r="AF8" s="7"/>
    </row>
    <row r="9" spans="1:32" ht="12.75">
      <c r="A9" s="145">
        <f t="shared" si="2"/>
        <v>0</v>
      </c>
      <c r="B9" s="146">
        <f t="shared" si="4"/>
        <v>0</v>
      </c>
      <c r="C9" s="146">
        <f t="shared" si="3"/>
        <v>0</v>
      </c>
      <c r="D9" s="147" t="s">
        <v>35</v>
      </c>
      <c r="E9" s="108" t="s">
        <v>21</v>
      </c>
      <c r="F9" s="108" t="s">
        <v>21</v>
      </c>
      <c r="G9" s="108" t="s">
        <v>21</v>
      </c>
      <c r="H9" s="108" t="s">
        <v>21</v>
      </c>
      <c r="I9" s="108" t="s">
        <v>21</v>
      </c>
      <c r="J9" s="108" t="s">
        <v>21</v>
      </c>
      <c r="K9" s="107" t="s">
        <v>21</v>
      </c>
      <c r="L9" s="107" t="s">
        <v>21</v>
      </c>
      <c r="M9" s="107" t="s">
        <v>21</v>
      </c>
      <c r="N9" s="107" t="s">
        <v>21</v>
      </c>
      <c r="O9" s="107" t="s">
        <v>21</v>
      </c>
      <c r="P9" s="107" t="s">
        <v>21</v>
      </c>
      <c r="Q9" s="126" t="s">
        <v>21</v>
      </c>
      <c r="R9" s="126" t="s">
        <v>21</v>
      </c>
      <c r="S9" s="126" t="s">
        <v>21</v>
      </c>
      <c r="T9" s="126" t="s">
        <v>21</v>
      </c>
      <c r="U9" s="126" t="s">
        <v>21</v>
      </c>
      <c r="V9" s="126" t="s">
        <v>21</v>
      </c>
      <c r="W9" s="263"/>
      <c r="X9" s="244"/>
      <c r="Y9" s="245"/>
      <c r="Z9" s="246"/>
      <c r="AA9" s="8" t="s">
        <v>8</v>
      </c>
      <c r="AB9" s="7">
        <v>0.85</v>
      </c>
      <c r="AC9" s="1">
        <f t="shared" si="1"/>
        <v>15.299999999999999</v>
      </c>
      <c r="AD9" s="7">
        <f t="shared" si="0"/>
        <v>0</v>
      </c>
      <c r="AE9" s="7"/>
      <c r="AF9" s="7"/>
    </row>
    <row r="10" spans="1:32" ht="12.75">
      <c r="A10" s="145">
        <f t="shared" si="2"/>
        <v>4.5</v>
      </c>
      <c r="B10" s="146">
        <f t="shared" si="4"/>
        <v>7.5</v>
      </c>
      <c r="C10" s="146">
        <f t="shared" si="3"/>
        <v>16.5</v>
      </c>
      <c r="D10" s="147" t="s">
        <v>36</v>
      </c>
      <c r="E10" s="108" t="s">
        <v>16</v>
      </c>
      <c r="F10" s="108" t="s">
        <v>17</v>
      </c>
      <c r="G10" s="108" t="s">
        <v>10</v>
      </c>
      <c r="H10" s="108" t="s">
        <v>20</v>
      </c>
      <c r="I10" s="108" t="s">
        <v>21</v>
      </c>
      <c r="J10" s="108" t="s">
        <v>16</v>
      </c>
      <c r="K10" s="107" t="s">
        <v>17</v>
      </c>
      <c r="L10" s="107" t="s">
        <v>10</v>
      </c>
      <c r="M10" s="107" t="s">
        <v>20</v>
      </c>
      <c r="N10" s="107" t="s">
        <v>21</v>
      </c>
      <c r="O10" s="107" t="s">
        <v>16</v>
      </c>
      <c r="P10" s="107" t="s">
        <v>17</v>
      </c>
      <c r="Q10" s="126" t="s">
        <v>10</v>
      </c>
      <c r="R10" s="126" t="s">
        <v>20</v>
      </c>
      <c r="S10" s="126" t="s">
        <v>21</v>
      </c>
      <c r="T10" s="126" t="s">
        <v>20</v>
      </c>
      <c r="U10" s="126" t="s">
        <v>20</v>
      </c>
      <c r="V10" s="126" t="s">
        <v>20</v>
      </c>
      <c r="W10" s="263"/>
      <c r="X10" s="244"/>
      <c r="Y10" s="245"/>
      <c r="Z10" s="246"/>
      <c r="AA10" s="8" t="s">
        <v>9</v>
      </c>
      <c r="AB10" s="7">
        <v>1</v>
      </c>
      <c r="AC10" s="1">
        <f t="shared" si="1"/>
        <v>18</v>
      </c>
      <c r="AD10" s="7">
        <f t="shared" si="0"/>
        <v>0</v>
      </c>
      <c r="AE10" s="7"/>
      <c r="AF10" s="7"/>
    </row>
    <row r="11" spans="1:32" ht="12.75">
      <c r="A11" s="145">
        <f t="shared" si="2"/>
        <v>2.25</v>
      </c>
      <c r="B11" s="146">
        <f t="shared" si="4"/>
        <v>3.75</v>
      </c>
      <c r="C11" s="146">
        <f t="shared" si="3"/>
        <v>8.25</v>
      </c>
      <c r="D11" s="147" t="s">
        <v>37</v>
      </c>
      <c r="E11" s="108" t="s">
        <v>20</v>
      </c>
      <c r="F11" s="108" t="s">
        <v>20</v>
      </c>
      <c r="G11" s="108" t="s">
        <v>20</v>
      </c>
      <c r="H11" s="108" t="s">
        <v>20</v>
      </c>
      <c r="I11" s="108" t="s">
        <v>20</v>
      </c>
      <c r="J11" s="108" t="s">
        <v>20</v>
      </c>
      <c r="K11" s="107" t="s">
        <v>20</v>
      </c>
      <c r="L11" s="107" t="s">
        <v>20</v>
      </c>
      <c r="M11" s="107" t="s">
        <v>20</v>
      </c>
      <c r="N11" s="107" t="s">
        <v>20</v>
      </c>
      <c r="O11" s="107" t="s">
        <v>20</v>
      </c>
      <c r="P11" s="107" t="s">
        <v>20</v>
      </c>
      <c r="Q11" s="126" t="s">
        <v>20</v>
      </c>
      <c r="R11" s="126" t="s">
        <v>20</v>
      </c>
      <c r="S11" s="126" t="s">
        <v>20</v>
      </c>
      <c r="T11" s="126" t="s">
        <v>20</v>
      </c>
      <c r="U11" s="126" t="s">
        <v>20</v>
      </c>
      <c r="V11" s="126" t="s">
        <v>20</v>
      </c>
      <c r="W11" s="263"/>
      <c r="X11" s="244"/>
      <c r="Y11" s="245"/>
      <c r="Z11" s="246"/>
      <c r="AA11" s="7"/>
      <c r="AB11" s="7"/>
      <c r="AC11" s="7"/>
      <c r="AD11" s="7"/>
      <c r="AE11" s="7"/>
      <c r="AF11" s="7"/>
    </row>
    <row r="12" spans="1:32" ht="12.75">
      <c r="A12" s="145">
        <f t="shared" si="2"/>
        <v>7.5</v>
      </c>
      <c r="B12" s="146">
        <f t="shared" si="4"/>
        <v>11.875</v>
      </c>
      <c r="C12" s="146">
        <f t="shared" si="3"/>
        <v>26.875</v>
      </c>
      <c r="D12" s="147" t="s">
        <v>38</v>
      </c>
      <c r="E12" s="108" t="s">
        <v>16</v>
      </c>
      <c r="F12" s="108" t="s">
        <v>16</v>
      </c>
      <c r="G12" s="108" t="s">
        <v>17</v>
      </c>
      <c r="H12" s="108" t="s">
        <v>17</v>
      </c>
      <c r="I12" s="108" t="s">
        <v>10</v>
      </c>
      <c r="J12" s="108" t="s">
        <v>10</v>
      </c>
      <c r="K12" s="107" t="s">
        <v>16</v>
      </c>
      <c r="L12" s="107" t="s">
        <v>16</v>
      </c>
      <c r="M12" s="107" t="s">
        <v>17</v>
      </c>
      <c r="N12" s="107" t="s">
        <v>17</v>
      </c>
      <c r="O12" s="107" t="s">
        <v>10</v>
      </c>
      <c r="P12" s="107" t="s">
        <v>10</v>
      </c>
      <c r="Q12" s="126" t="s">
        <v>16</v>
      </c>
      <c r="R12" s="126" t="s">
        <v>16</v>
      </c>
      <c r="S12" s="126" t="s">
        <v>17</v>
      </c>
      <c r="T12" s="126" t="s">
        <v>17</v>
      </c>
      <c r="U12" s="126" t="s">
        <v>10</v>
      </c>
      <c r="V12" s="126" t="s">
        <v>10</v>
      </c>
      <c r="W12" s="263"/>
      <c r="X12" s="244"/>
      <c r="Y12" s="245"/>
      <c r="Z12" s="246"/>
      <c r="AA12" s="65" t="s">
        <v>127</v>
      </c>
      <c r="AB12" s="66" t="s">
        <v>124</v>
      </c>
      <c r="AC12" s="9"/>
      <c r="AD12" s="7"/>
      <c r="AE12" s="7"/>
      <c r="AF12" s="7"/>
    </row>
    <row r="13" spans="1:32" ht="12.75">
      <c r="A13" s="145">
        <f t="shared" si="2"/>
        <v>5.75</v>
      </c>
      <c r="B13" s="146">
        <f t="shared" si="4"/>
        <v>9.583333333333334</v>
      </c>
      <c r="C13" s="146">
        <f t="shared" si="3"/>
        <v>21.083333333333332</v>
      </c>
      <c r="D13" s="147" t="s">
        <v>39</v>
      </c>
      <c r="E13" s="108" t="s">
        <v>20</v>
      </c>
      <c r="F13" s="108" t="s">
        <v>20</v>
      </c>
      <c r="G13" s="108" t="s">
        <v>20</v>
      </c>
      <c r="H13" s="108" t="s">
        <v>20</v>
      </c>
      <c r="I13" s="108" t="s">
        <v>20</v>
      </c>
      <c r="J13" s="108" t="s">
        <v>20</v>
      </c>
      <c r="K13" s="107" t="s">
        <v>16</v>
      </c>
      <c r="L13" s="107" t="s">
        <v>16</v>
      </c>
      <c r="M13" s="107" t="s">
        <v>17</v>
      </c>
      <c r="N13" s="107" t="s">
        <v>17</v>
      </c>
      <c r="O13" s="107" t="s">
        <v>10</v>
      </c>
      <c r="P13" s="107" t="s">
        <v>10</v>
      </c>
      <c r="Q13" s="126" t="s">
        <v>16</v>
      </c>
      <c r="R13" s="126" t="s">
        <v>16</v>
      </c>
      <c r="S13" s="126" t="s">
        <v>17</v>
      </c>
      <c r="T13" s="126" t="s">
        <v>17</v>
      </c>
      <c r="U13" s="126" t="s">
        <v>10</v>
      </c>
      <c r="V13" s="126" t="s">
        <v>10</v>
      </c>
      <c r="W13" s="263"/>
      <c r="X13" s="244"/>
      <c r="Y13" s="245"/>
      <c r="Z13" s="246"/>
      <c r="AA13" s="10">
        <v>0</v>
      </c>
      <c r="AB13" s="7">
        <v>0</v>
      </c>
      <c r="AC13" s="21">
        <f>X78/COUNTA(AB13:AB52)</f>
        <v>0.45</v>
      </c>
      <c r="AE13" s="7"/>
      <c r="AF13" s="7"/>
    </row>
    <row r="14" spans="1:32" ht="12.75">
      <c r="A14" s="145">
        <f t="shared" si="2"/>
        <v>5.75</v>
      </c>
      <c r="B14" s="146">
        <f t="shared" si="4"/>
        <v>9.583333333333334</v>
      </c>
      <c r="C14" s="146">
        <f t="shared" si="3"/>
        <v>21.083333333333332</v>
      </c>
      <c r="D14" s="147" t="s">
        <v>40</v>
      </c>
      <c r="E14" s="108" t="s">
        <v>20</v>
      </c>
      <c r="F14" s="108" t="s">
        <v>20</v>
      </c>
      <c r="G14" s="108" t="s">
        <v>20</v>
      </c>
      <c r="H14" s="108" t="s">
        <v>20</v>
      </c>
      <c r="I14" s="108" t="s">
        <v>20</v>
      </c>
      <c r="J14" s="108" t="s">
        <v>20</v>
      </c>
      <c r="K14" s="107" t="s">
        <v>16</v>
      </c>
      <c r="L14" s="107" t="s">
        <v>16</v>
      </c>
      <c r="M14" s="107" t="s">
        <v>17</v>
      </c>
      <c r="N14" s="107" t="s">
        <v>17</v>
      </c>
      <c r="O14" s="107" t="s">
        <v>10</v>
      </c>
      <c r="P14" s="107" t="s">
        <v>10</v>
      </c>
      <c r="Q14" s="126" t="s">
        <v>16</v>
      </c>
      <c r="R14" s="126" t="s">
        <v>16</v>
      </c>
      <c r="S14" s="126" t="s">
        <v>17</v>
      </c>
      <c r="T14" s="126" t="s">
        <v>17</v>
      </c>
      <c r="U14" s="126" t="s">
        <v>10</v>
      </c>
      <c r="V14" s="126" t="s">
        <v>10</v>
      </c>
      <c r="W14" s="263"/>
      <c r="X14" s="244"/>
      <c r="Y14" s="245"/>
      <c r="Z14" s="246"/>
      <c r="AA14" s="10">
        <f aca="true" t="shared" si="5" ref="AA14:AA53">$AC$13+AA13</f>
        <v>0.45</v>
      </c>
      <c r="AB14" s="7">
        <v>0.25</v>
      </c>
      <c r="AC14" s="7"/>
      <c r="AD14" s="7"/>
      <c r="AE14" s="7"/>
      <c r="AF14" s="7"/>
    </row>
    <row r="15" spans="1:32" ht="12.75">
      <c r="A15" s="145">
        <f t="shared" si="2"/>
        <v>5.75</v>
      </c>
      <c r="B15" s="146">
        <f t="shared" si="4"/>
        <v>9.583333333333334</v>
      </c>
      <c r="C15" s="146">
        <f t="shared" si="3"/>
        <v>21.083333333333332</v>
      </c>
      <c r="D15" s="147" t="s">
        <v>41</v>
      </c>
      <c r="E15" s="108" t="s">
        <v>20</v>
      </c>
      <c r="F15" s="108" t="s">
        <v>20</v>
      </c>
      <c r="G15" s="108" t="s">
        <v>20</v>
      </c>
      <c r="H15" s="108" t="s">
        <v>20</v>
      </c>
      <c r="I15" s="108" t="s">
        <v>20</v>
      </c>
      <c r="J15" s="108" t="s">
        <v>20</v>
      </c>
      <c r="K15" s="107" t="s">
        <v>16</v>
      </c>
      <c r="L15" s="107" t="s">
        <v>16</v>
      </c>
      <c r="M15" s="107" t="s">
        <v>17</v>
      </c>
      <c r="N15" s="107" t="s">
        <v>17</v>
      </c>
      <c r="O15" s="107" t="s">
        <v>10</v>
      </c>
      <c r="P15" s="107" t="s">
        <v>10</v>
      </c>
      <c r="Q15" s="126" t="s">
        <v>16</v>
      </c>
      <c r="R15" s="126" t="s">
        <v>16</v>
      </c>
      <c r="S15" s="126" t="s">
        <v>17</v>
      </c>
      <c r="T15" s="126" t="s">
        <v>17</v>
      </c>
      <c r="U15" s="126" t="s">
        <v>10</v>
      </c>
      <c r="V15" s="126" t="s">
        <v>10</v>
      </c>
      <c r="W15" s="263"/>
      <c r="X15" s="244"/>
      <c r="Y15" s="245"/>
      <c r="Z15" s="246"/>
      <c r="AA15" s="10">
        <f t="shared" si="5"/>
        <v>0.9</v>
      </c>
      <c r="AB15" s="7">
        <v>0.5</v>
      </c>
      <c r="AC15" s="7"/>
      <c r="AD15" s="7"/>
      <c r="AE15" s="7"/>
      <c r="AF15" s="7"/>
    </row>
    <row r="16" spans="1:32" ht="12.75">
      <c r="A16" s="145">
        <f t="shared" si="2"/>
        <v>5.75</v>
      </c>
      <c r="B16" s="146">
        <f t="shared" si="4"/>
        <v>9.583333333333334</v>
      </c>
      <c r="C16" s="146">
        <f t="shared" si="3"/>
        <v>21.083333333333332</v>
      </c>
      <c r="D16" s="147" t="s">
        <v>42</v>
      </c>
      <c r="E16" s="108" t="s">
        <v>20</v>
      </c>
      <c r="F16" s="108" t="s">
        <v>20</v>
      </c>
      <c r="G16" s="108" t="s">
        <v>20</v>
      </c>
      <c r="H16" s="108" t="s">
        <v>20</v>
      </c>
      <c r="I16" s="108" t="s">
        <v>20</v>
      </c>
      <c r="J16" s="108" t="s">
        <v>20</v>
      </c>
      <c r="K16" s="107" t="s">
        <v>16</v>
      </c>
      <c r="L16" s="107" t="s">
        <v>16</v>
      </c>
      <c r="M16" s="107" t="s">
        <v>17</v>
      </c>
      <c r="N16" s="107" t="s">
        <v>17</v>
      </c>
      <c r="O16" s="107" t="s">
        <v>10</v>
      </c>
      <c r="P16" s="107" t="s">
        <v>10</v>
      </c>
      <c r="Q16" s="126" t="s">
        <v>16</v>
      </c>
      <c r="R16" s="126" t="s">
        <v>16</v>
      </c>
      <c r="S16" s="126" t="s">
        <v>17</v>
      </c>
      <c r="T16" s="126" t="s">
        <v>17</v>
      </c>
      <c r="U16" s="126" t="s">
        <v>10</v>
      </c>
      <c r="V16" s="126" t="s">
        <v>10</v>
      </c>
      <c r="W16" s="263"/>
      <c r="X16" s="244"/>
      <c r="Y16" s="245"/>
      <c r="Z16" s="246"/>
      <c r="AA16" s="10">
        <f t="shared" si="5"/>
        <v>1.35</v>
      </c>
      <c r="AB16" s="7">
        <v>0.75</v>
      </c>
      <c r="AC16" s="7"/>
      <c r="AD16" s="7"/>
      <c r="AE16" s="7"/>
      <c r="AF16" s="7"/>
    </row>
    <row r="17" spans="1:32" ht="12.75">
      <c r="A17" s="145">
        <f t="shared" si="2"/>
        <v>5.75</v>
      </c>
      <c r="B17" s="146">
        <f t="shared" si="4"/>
        <v>9.583333333333334</v>
      </c>
      <c r="C17" s="146">
        <f t="shared" si="3"/>
        <v>21.083333333333332</v>
      </c>
      <c r="D17" s="147" t="s">
        <v>43</v>
      </c>
      <c r="E17" s="108" t="s">
        <v>20</v>
      </c>
      <c r="F17" s="108" t="s">
        <v>20</v>
      </c>
      <c r="G17" s="108" t="s">
        <v>20</v>
      </c>
      <c r="H17" s="108" t="s">
        <v>20</v>
      </c>
      <c r="I17" s="108" t="s">
        <v>20</v>
      </c>
      <c r="J17" s="108" t="s">
        <v>20</v>
      </c>
      <c r="K17" s="107" t="s">
        <v>16</v>
      </c>
      <c r="L17" s="107" t="s">
        <v>16</v>
      </c>
      <c r="M17" s="107" t="s">
        <v>17</v>
      </c>
      <c r="N17" s="107" t="s">
        <v>17</v>
      </c>
      <c r="O17" s="107" t="s">
        <v>10</v>
      </c>
      <c r="P17" s="107" t="s">
        <v>10</v>
      </c>
      <c r="Q17" s="126" t="s">
        <v>16</v>
      </c>
      <c r="R17" s="126" t="s">
        <v>16</v>
      </c>
      <c r="S17" s="126" t="s">
        <v>17</v>
      </c>
      <c r="T17" s="126" t="s">
        <v>17</v>
      </c>
      <c r="U17" s="126" t="s">
        <v>10</v>
      </c>
      <c r="V17" s="126" t="s">
        <v>10</v>
      </c>
      <c r="W17" s="263"/>
      <c r="X17" s="244"/>
      <c r="Y17" s="245"/>
      <c r="Z17" s="246"/>
      <c r="AA17" s="10">
        <f t="shared" si="5"/>
        <v>1.8</v>
      </c>
      <c r="AB17" s="7">
        <v>1</v>
      </c>
      <c r="AC17" s="7"/>
      <c r="AD17" s="7"/>
      <c r="AE17" s="7"/>
      <c r="AF17" s="7"/>
    </row>
    <row r="18" spans="1:32" ht="12.75">
      <c r="A18" s="145">
        <f t="shared" si="2"/>
        <v>6.25</v>
      </c>
      <c r="B18" s="146">
        <f t="shared" si="4"/>
        <v>10.3125</v>
      </c>
      <c r="C18" s="146">
        <f t="shared" si="3"/>
        <v>22.8125</v>
      </c>
      <c r="D18" s="147" t="s">
        <v>44</v>
      </c>
      <c r="E18" s="108" t="s">
        <v>16</v>
      </c>
      <c r="F18" s="108" t="s">
        <v>20</v>
      </c>
      <c r="G18" s="108" t="s">
        <v>20</v>
      </c>
      <c r="H18" s="108" t="s">
        <v>20</v>
      </c>
      <c r="I18" s="108" t="s">
        <v>20</v>
      </c>
      <c r="J18" s="108" t="s">
        <v>20</v>
      </c>
      <c r="K18" s="107" t="s">
        <v>16</v>
      </c>
      <c r="L18" s="107" t="s">
        <v>16</v>
      </c>
      <c r="M18" s="107" t="s">
        <v>17</v>
      </c>
      <c r="N18" s="107" t="s">
        <v>17</v>
      </c>
      <c r="O18" s="107" t="s">
        <v>10</v>
      </c>
      <c r="P18" s="107" t="s">
        <v>10</v>
      </c>
      <c r="Q18" s="126" t="s">
        <v>16</v>
      </c>
      <c r="R18" s="126" t="s">
        <v>16</v>
      </c>
      <c r="S18" s="126" t="s">
        <v>17</v>
      </c>
      <c r="T18" s="126" t="s">
        <v>17</v>
      </c>
      <c r="U18" s="126" t="s">
        <v>10</v>
      </c>
      <c r="V18" s="126" t="s">
        <v>10</v>
      </c>
      <c r="W18" s="263"/>
      <c r="X18" s="244"/>
      <c r="Y18" s="245"/>
      <c r="Z18" s="246"/>
      <c r="AA18" s="10">
        <f t="shared" si="5"/>
        <v>2.25</v>
      </c>
      <c r="AB18" s="7">
        <v>1.25</v>
      </c>
      <c r="AC18" s="7"/>
      <c r="AD18" s="7"/>
      <c r="AE18" s="7"/>
      <c r="AF18" s="7"/>
    </row>
    <row r="19" spans="1:32" ht="12.75">
      <c r="A19" s="145">
        <f t="shared" si="2"/>
        <v>5.75</v>
      </c>
      <c r="B19" s="146">
        <f t="shared" si="4"/>
        <v>9.583333333333334</v>
      </c>
      <c r="C19" s="146">
        <f t="shared" si="3"/>
        <v>21.083333333333332</v>
      </c>
      <c r="D19" s="147" t="s">
        <v>45</v>
      </c>
      <c r="E19" s="108" t="s">
        <v>20</v>
      </c>
      <c r="F19" s="108" t="s">
        <v>20</v>
      </c>
      <c r="G19" s="108" t="s">
        <v>20</v>
      </c>
      <c r="H19" s="108" t="s">
        <v>20</v>
      </c>
      <c r="I19" s="108" t="s">
        <v>20</v>
      </c>
      <c r="J19" s="108" t="s">
        <v>20</v>
      </c>
      <c r="K19" s="107" t="s">
        <v>16</v>
      </c>
      <c r="L19" s="107" t="s">
        <v>16</v>
      </c>
      <c r="M19" s="107" t="s">
        <v>17</v>
      </c>
      <c r="N19" s="107" t="s">
        <v>17</v>
      </c>
      <c r="O19" s="107" t="s">
        <v>10</v>
      </c>
      <c r="P19" s="107" t="s">
        <v>10</v>
      </c>
      <c r="Q19" s="126" t="s">
        <v>16</v>
      </c>
      <c r="R19" s="126" t="s">
        <v>16</v>
      </c>
      <c r="S19" s="126" t="s">
        <v>17</v>
      </c>
      <c r="T19" s="126" t="s">
        <v>17</v>
      </c>
      <c r="U19" s="126" t="s">
        <v>10</v>
      </c>
      <c r="V19" s="126" t="s">
        <v>10</v>
      </c>
      <c r="W19" s="263"/>
      <c r="X19" s="244"/>
      <c r="Y19" s="245"/>
      <c r="Z19" s="246"/>
      <c r="AA19" s="10">
        <f t="shared" si="5"/>
        <v>2.7</v>
      </c>
      <c r="AB19" s="7">
        <v>1.5</v>
      </c>
      <c r="AC19" s="7"/>
      <c r="AD19" s="7"/>
      <c r="AE19" s="7"/>
      <c r="AF19" s="7"/>
    </row>
    <row r="20" spans="1:32" ht="12.75">
      <c r="A20" s="145">
        <f t="shared" si="2"/>
        <v>5.75</v>
      </c>
      <c r="B20" s="146">
        <f t="shared" si="4"/>
        <v>9.583333333333334</v>
      </c>
      <c r="C20" s="146">
        <f t="shared" si="3"/>
        <v>21.083333333333332</v>
      </c>
      <c r="D20" s="147" t="s">
        <v>46</v>
      </c>
      <c r="E20" s="108" t="s">
        <v>20</v>
      </c>
      <c r="F20" s="108" t="s">
        <v>20</v>
      </c>
      <c r="G20" s="108" t="s">
        <v>20</v>
      </c>
      <c r="H20" s="108" t="s">
        <v>20</v>
      </c>
      <c r="I20" s="108" t="s">
        <v>20</v>
      </c>
      <c r="J20" s="108" t="s">
        <v>20</v>
      </c>
      <c r="K20" s="107" t="s">
        <v>16</v>
      </c>
      <c r="L20" s="107" t="s">
        <v>16</v>
      </c>
      <c r="M20" s="107" t="s">
        <v>17</v>
      </c>
      <c r="N20" s="107" t="s">
        <v>17</v>
      </c>
      <c r="O20" s="107" t="s">
        <v>10</v>
      </c>
      <c r="P20" s="107" t="s">
        <v>10</v>
      </c>
      <c r="Q20" s="126" t="s">
        <v>16</v>
      </c>
      <c r="R20" s="126" t="s">
        <v>16</v>
      </c>
      <c r="S20" s="126" t="s">
        <v>17</v>
      </c>
      <c r="T20" s="126" t="s">
        <v>17</v>
      </c>
      <c r="U20" s="126" t="s">
        <v>10</v>
      </c>
      <c r="V20" s="126" t="s">
        <v>10</v>
      </c>
      <c r="W20" s="263"/>
      <c r="X20" s="244"/>
      <c r="Y20" s="245"/>
      <c r="Z20" s="246"/>
      <c r="AA20" s="10">
        <f t="shared" si="5"/>
        <v>3.1500000000000004</v>
      </c>
      <c r="AB20" s="7">
        <v>1.75</v>
      </c>
      <c r="AC20" s="7"/>
      <c r="AD20" s="7"/>
      <c r="AE20" s="7"/>
      <c r="AF20" s="7"/>
    </row>
    <row r="21" spans="1:32" ht="12.75">
      <c r="A21" s="145">
        <f t="shared" si="2"/>
        <v>5.75</v>
      </c>
      <c r="B21" s="146">
        <f t="shared" si="4"/>
        <v>9.583333333333334</v>
      </c>
      <c r="C21" s="146">
        <f t="shared" si="3"/>
        <v>21.083333333333332</v>
      </c>
      <c r="D21" s="147" t="s">
        <v>47</v>
      </c>
      <c r="E21" s="108" t="s">
        <v>20</v>
      </c>
      <c r="F21" s="108" t="s">
        <v>20</v>
      </c>
      <c r="G21" s="108" t="s">
        <v>20</v>
      </c>
      <c r="H21" s="108" t="s">
        <v>20</v>
      </c>
      <c r="I21" s="108" t="s">
        <v>20</v>
      </c>
      <c r="J21" s="108" t="s">
        <v>20</v>
      </c>
      <c r="K21" s="107" t="s">
        <v>16</v>
      </c>
      <c r="L21" s="107" t="s">
        <v>16</v>
      </c>
      <c r="M21" s="107" t="s">
        <v>17</v>
      </c>
      <c r="N21" s="107" t="s">
        <v>17</v>
      </c>
      <c r="O21" s="107" t="s">
        <v>10</v>
      </c>
      <c r="P21" s="107" t="s">
        <v>10</v>
      </c>
      <c r="Q21" s="126" t="s">
        <v>16</v>
      </c>
      <c r="R21" s="126" t="s">
        <v>16</v>
      </c>
      <c r="S21" s="126" t="s">
        <v>17</v>
      </c>
      <c r="T21" s="126" t="s">
        <v>17</v>
      </c>
      <c r="U21" s="126" t="s">
        <v>10</v>
      </c>
      <c r="V21" s="126" t="s">
        <v>10</v>
      </c>
      <c r="W21" s="263"/>
      <c r="X21" s="244"/>
      <c r="Y21" s="245"/>
      <c r="Z21" s="246"/>
      <c r="AA21" s="10">
        <f t="shared" si="5"/>
        <v>3.6000000000000005</v>
      </c>
      <c r="AB21" s="7">
        <v>2</v>
      </c>
      <c r="AC21" s="7"/>
      <c r="AD21" s="7"/>
      <c r="AE21" s="7"/>
      <c r="AF21" s="7"/>
    </row>
    <row r="22" spans="1:32" ht="12.75">
      <c r="A22" s="145">
        <f t="shared" si="2"/>
        <v>5.75</v>
      </c>
      <c r="B22" s="146">
        <f t="shared" si="4"/>
        <v>9.583333333333334</v>
      </c>
      <c r="C22" s="146">
        <f t="shared" si="3"/>
        <v>21.083333333333332</v>
      </c>
      <c r="D22" s="147" t="s">
        <v>48</v>
      </c>
      <c r="E22" s="108" t="s">
        <v>20</v>
      </c>
      <c r="F22" s="108" t="s">
        <v>20</v>
      </c>
      <c r="G22" s="108" t="s">
        <v>20</v>
      </c>
      <c r="H22" s="108" t="s">
        <v>20</v>
      </c>
      <c r="I22" s="108" t="s">
        <v>20</v>
      </c>
      <c r="J22" s="108" t="s">
        <v>20</v>
      </c>
      <c r="K22" s="107" t="s">
        <v>16</v>
      </c>
      <c r="L22" s="107" t="s">
        <v>16</v>
      </c>
      <c r="M22" s="107" t="s">
        <v>17</v>
      </c>
      <c r="N22" s="107" t="s">
        <v>17</v>
      </c>
      <c r="O22" s="107" t="s">
        <v>10</v>
      </c>
      <c r="P22" s="107" t="s">
        <v>10</v>
      </c>
      <c r="Q22" s="126" t="s">
        <v>16</v>
      </c>
      <c r="R22" s="126" t="s">
        <v>16</v>
      </c>
      <c r="S22" s="126" t="s">
        <v>17</v>
      </c>
      <c r="T22" s="126" t="s">
        <v>17</v>
      </c>
      <c r="U22" s="126" t="s">
        <v>10</v>
      </c>
      <c r="V22" s="126" t="s">
        <v>10</v>
      </c>
      <c r="W22" s="263"/>
      <c r="X22" s="244"/>
      <c r="Y22" s="245"/>
      <c r="Z22" s="246"/>
      <c r="AA22" s="10">
        <f t="shared" si="5"/>
        <v>4.050000000000001</v>
      </c>
      <c r="AB22" s="7">
        <v>2.25</v>
      </c>
      <c r="AC22" s="7"/>
      <c r="AD22" s="7"/>
      <c r="AE22" s="7"/>
      <c r="AF22" s="7"/>
    </row>
    <row r="23" spans="1:32" ht="12.75">
      <c r="A23" s="145">
        <f t="shared" si="2"/>
        <v>5.75</v>
      </c>
      <c r="B23" s="146">
        <f t="shared" si="4"/>
        <v>9.583333333333334</v>
      </c>
      <c r="C23" s="146">
        <f t="shared" si="3"/>
        <v>21.083333333333332</v>
      </c>
      <c r="D23" s="147" t="s">
        <v>49</v>
      </c>
      <c r="E23" s="108" t="s">
        <v>20</v>
      </c>
      <c r="F23" s="108" t="s">
        <v>20</v>
      </c>
      <c r="G23" s="108" t="s">
        <v>20</v>
      </c>
      <c r="H23" s="108" t="s">
        <v>20</v>
      </c>
      <c r="I23" s="108" t="s">
        <v>20</v>
      </c>
      <c r="J23" s="108" t="s">
        <v>20</v>
      </c>
      <c r="K23" s="107" t="s">
        <v>16</v>
      </c>
      <c r="L23" s="107" t="s">
        <v>16</v>
      </c>
      <c r="M23" s="107" t="s">
        <v>17</v>
      </c>
      <c r="N23" s="107" t="s">
        <v>17</v>
      </c>
      <c r="O23" s="107" t="s">
        <v>10</v>
      </c>
      <c r="P23" s="107" t="s">
        <v>10</v>
      </c>
      <c r="Q23" s="126" t="s">
        <v>16</v>
      </c>
      <c r="R23" s="126" t="s">
        <v>16</v>
      </c>
      <c r="S23" s="126" t="s">
        <v>17</v>
      </c>
      <c r="T23" s="126" t="s">
        <v>17</v>
      </c>
      <c r="U23" s="126" t="s">
        <v>10</v>
      </c>
      <c r="V23" s="126" t="s">
        <v>10</v>
      </c>
      <c r="W23" s="263"/>
      <c r="X23" s="244"/>
      <c r="Y23" s="245"/>
      <c r="Z23" s="246"/>
      <c r="AA23" s="10">
        <f t="shared" si="5"/>
        <v>4.500000000000001</v>
      </c>
      <c r="AB23" s="7">
        <v>2.5</v>
      </c>
      <c r="AC23" s="7"/>
      <c r="AD23" s="7"/>
      <c r="AE23" s="7"/>
      <c r="AF23" s="7"/>
    </row>
    <row r="24" spans="1:32" ht="12.75">
      <c r="A24" s="145">
        <f t="shared" si="2"/>
        <v>5.75</v>
      </c>
      <c r="B24" s="146">
        <f t="shared" si="4"/>
        <v>9.583333333333334</v>
      </c>
      <c r="C24" s="146">
        <f t="shared" si="3"/>
        <v>21.083333333333332</v>
      </c>
      <c r="D24" s="147" t="s">
        <v>50</v>
      </c>
      <c r="E24" s="108" t="s">
        <v>20</v>
      </c>
      <c r="F24" s="108" t="s">
        <v>20</v>
      </c>
      <c r="G24" s="108" t="s">
        <v>20</v>
      </c>
      <c r="H24" s="108" t="s">
        <v>20</v>
      </c>
      <c r="I24" s="108" t="s">
        <v>20</v>
      </c>
      <c r="J24" s="108" t="s">
        <v>20</v>
      </c>
      <c r="K24" s="107" t="s">
        <v>16</v>
      </c>
      <c r="L24" s="107" t="s">
        <v>16</v>
      </c>
      <c r="M24" s="107" t="s">
        <v>17</v>
      </c>
      <c r="N24" s="107" t="s">
        <v>17</v>
      </c>
      <c r="O24" s="107" t="s">
        <v>10</v>
      </c>
      <c r="P24" s="107" t="s">
        <v>10</v>
      </c>
      <c r="Q24" s="126" t="s">
        <v>16</v>
      </c>
      <c r="R24" s="126" t="s">
        <v>16</v>
      </c>
      <c r="S24" s="126" t="s">
        <v>17</v>
      </c>
      <c r="T24" s="126" t="s">
        <v>17</v>
      </c>
      <c r="U24" s="126" t="s">
        <v>10</v>
      </c>
      <c r="V24" s="126" t="s">
        <v>10</v>
      </c>
      <c r="W24" s="263"/>
      <c r="X24" s="244"/>
      <c r="Y24" s="245"/>
      <c r="Z24" s="246"/>
      <c r="AA24" s="10">
        <f t="shared" si="5"/>
        <v>4.950000000000001</v>
      </c>
      <c r="AB24" s="7">
        <v>2.75</v>
      </c>
      <c r="AC24" s="7"/>
      <c r="AD24" s="7"/>
      <c r="AE24" s="7"/>
      <c r="AF24" s="7"/>
    </row>
    <row r="25" spans="1:32" ht="12.75">
      <c r="A25" s="145">
        <f t="shared" si="2"/>
        <v>5.75</v>
      </c>
      <c r="B25" s="146">
        <f t="shared" si="4"/>
        <v>9.583333333333334</v>
      </c>
      <c r="C25" s="146">
        <f t="shared" si="3"/>
        <v>21.083333333333332</v>
      </c>
      <c r="D25" s="147" t="s">
        <v>51</v>
      </c>
      <c r="E25" s="108" t="s">
        <v>20</v>
      </c>
      <c r="F25" s="108" t="s">
        <v>20</v>
      </c>
      <c r="G25" s="108" t="s">
        <v>20</v>
      </c>
      <c r="H25" s="108" t="s">
        <v>20</v>
      </c>
      <c r="I25" s="108" t="s">
        <v>20</v>
      </c>
      <c r="J25" s="108" t="s">
        <v>20</v>
      </c>
      <c r="K25" s="107" t="s">
        <v>16</v>
      </c>
      <c r="L25" s="107" t="s">
        <v>16</v>
      </c>
      <c r="M25" s="107" t="s">
        <v>17</v>
      </c>
      <c r="N25" s="107" t="s">
        <v>17</v>
      </c>
      <c r="O25" s="107" t="s">
        <v>10</v>
      </c>
      <c r="P25" s="107" t="s">
        <v>10</v>
      </c>
      <c r="Q25" s="126" t="s">
        <v>16</v>
      </c>
      <c r="R25" s="126" t="s">
        <v>16</v>
      </c>
      <c r="S25" s="126" t="s">
        <v>17</v>
      </c>
      <c r="T25" s="126" t="s">
        <v>17</v>
      </c>
      <c r="U25" s="126" t="s">
        <v>10</v>
      </c>
      <c r="V25" s="126" t="s">
        <v>10</v>
      </c>
      <c r="W25" s="263"/>
      <c r="X25" s="244"/>
      <c r="Y25" s="245"/>
      <c r="Z25" s="246"/>
      <c r="AA25" s="10">
        <f t="shared" si="5"/>
        <v>5.400000000000001</v>
      </c>
      <c r="AB25" s="7">
        <v>3</v>
      </c>
      <c r="AC25" s="7"/>
      <c r="AD25" s="7"/>
      <c r="AE25" s="7"/>
      <c r="AF25" s="7"/>
    </row>
    <row r="26" spans="1:32" ht="12.75">
      <c r="A26" s="145">
        <f t="shared" si="2"/>
        <v>5.75</v>
      </c>
      <c r="B26" s="146">
        <f t="shared" si="4"/>
        <v>9.583333333333334</v>
      </c>
      <c r="C26" s="146">
        <f t="shared" si="3"/>
        <v>21.083333333333332</v>
      </c>
      <c r="D26" s="147" t="s">
        <v>52</v>
      </c>
      <c r="E26" s="108" t="s">
        <v>20</v>
      </c>
      <c r="F26" s="108" t="s">
        <v>20</v>
      </c>
      <c r="G26" s="108" t="s">
        <v>20</v>
      </c>
      <c r="H26" s="108" t="s">
        <v>20</v>
      </c>
      <c r="I26" s="108" t="s">
        <v>20</v>
      </c>
      <c r="J26" s="108" t="s">
        <v>20</v>
      </c>
      <c r="K26" s="107" t="s">
        <v>16</v>
      </c>
      <c r="L26" s="107" t="s">
        <v>16</v>
      </c>
      <c r="M26" s="107" t="s">
        <v>17</v>
      </c>
      <c r="N26" s="107" t="s">
        <v>17</v>
      </c>
      <c r="O26" s="107" t="s">
        <v>10</v>
      </c>
      <c r="P26" s="107" t="s">
        <v>10</v>
      </c>
      <c r="Q26" s="126" t="s">
        <v>16</v>
      </c>
      <c r="R26" s="126" t="s">
        <v>16</v>
      </c>
      <c r="S26" s="126" t="s">
        <v>17</v>
      </c>
      <c r="T26" s="126" t="s">
        <v>17</v>
      </c>
      <c r="U26" s="126" t="s">
        <v>10</v>
      </c>
      <c r="V26" s="126" t="s">
        <v>10</v>
      </c>
      <c r="W26" s="263"/>
      <c r="X26" s="244"/>
      <c r="Y26" s="245"/>
      <c r="Z26" s="246"/>
      <c r="AA26" s="10">
        <f t="shared" si="5"/>
        <v>5.850000000000001</v>
      </c>
      <c r="AB26" s="7">
        <v>3.25</v>
      </c>
      <c r="AC26" s="7"/>
      <c r="AD26" s="7"/>
      <c r="AE26" s="7"/>
      <c r="AF26" s="7"/>
    </row>
    <row r="27" spans="1:32" ht="12.75">
      <c r="A27" s="145">
        <f t="shared" si="2"/>
        <v>5.75</v>
      </c>
      <c r="B27" s="146">
        <f t="shared" si="4"/>
        <v>9.583333333333334</v>
      </c>
      <c r="C27" s="146">
        <f t="shared" si="3"/>
        <v>21.083333333333332</v>
      </c>
      <c r="D27" s="147" t="s">
        <v>53</v>
      </c>
      <c r="E27" s="108" t="s">
        <v>20</v>
      </c>
      <c r="F27" s="108" t="s">
        <v>20</v>
      </c>
      <c r="G27" s="108" t="s">
        <v>20</v>
      </c>
      <c r="H27" s="108" t="s">
        <v>20</v>
      </c>
      <c r="I27" s="108" t="s">
        <v>20</v>
      </c>
      <c r="J27" s="108" t="s">
        <v>20</v>
      </c>
      <c r="K27" s="107" t="s">
        <v>16</v>
      </c>
      <c r="L27" s="107" t="s">
        <v>16</v>
      </c>
      <c r="M27" s="107" t="s">
        <v>17</v>
      </c>
      <c r="N27" s="107" t="s">
        <v>17</v>
      </c>
      <c r="O27" s="107" t="s">
        <v>10</v>
      </c>
      <c r="P27" s="107" t="s">
        <v>10</v>
      </c>
      <c r="Q27" s="126" t="s">
        <v>16</v>
      </c>
      <c r="R27" s="126" t="s">
        <v>16</v>
      </c>
      <c r="S27" s="126" t="s">
        <v>17</v>
      </c>
      <c r="T27" s="126" t="s">
        <v>17</v>
      </c>
      <c r="U27" s="126" t="s">
        <v>10</v>
      </c>
      <c r="V27" s="126" t="s">
        <v>10</v>
      </c>
      <c r="W27" s="263"/>
      <c r="X27" s="244"/>
      <c r="Y27" s="245"/>
      <c r="Z27" s="246"/>
      <c r="AA27" s="10">
        <f t="shared" si="5"/>
        <v>6.300000000000002</v>
      </c>
      <c r="AB27" s="7">
        <v>3.5</v>
      </c>
      <c r="AC27" s="7"/>
      <c r="AD27" s="7"/>
      <c r="AE27" s="7"/>
      <c r="AF27" s="7"/>
    </row>
    <row r="28" spans="1:32" ht="12.75">
      <c r="A28" s="145">
        <f t="shared" si="2"/>
        <v>5.75</v>
      </c>
      <c r="B28" s="146">
        <f t="shared" si="4"/>
        <v>9.583333333333334</v>
      </c>
      <c r="C28" s="146">
        <f t="shared" si="3"/>
        <v>21.083333333333332</v>
      </c>
      <c r="D28" s="147" t="s">
        <v>54</v>
      </c>
      <c r="E28" s="108" t="s">
        <v>20</v>
      </c>
      <c r="F28" s="108" t="s">
        <v>20</v>
      </c>
      <c r="G28" s="108" t="s">
        <v>20</v>
      </c>
      <c r="H28" s="108" t="s">
        <v>20</v>
      </c>
      <c r="I28" s="108" t="s">
        <v>20</v>
      </c>
      <c r="J28" s="108" t="s">
        <v>20</v>
      </c>
      <c r="K28" s="107" t="s">
        <v>16</v>
      </c>
      <c r="L28" s="107" t="s">
        <v>16</v>
      </c>
      <c r="M28" s="107" t="s">
        <v>17</v>
      </c>
      <c r="N28" s="107" t="s">
        <v>17</v>
      </c>
      <c r="O28" s="107" t="s">
        <v>10</v>
      </c>
      <c r="P28" s="107" t="s">
        <v>10</v>
      </c>
      <c r="Q28" s="126" t="s">
        <v>16</v>
      </c>
      <c r="R28" s="126" t="s">
        <v>16</v>
      </c>
      <c r="S28" s="126" t="s">
        <v>17</v>
      </c>
      <c r="T28" s="126" t="s">
        <v>17</v>
      </c>
      <c r="U28" s="126" t="s">
        <v>10</v>
      </c>
      <c r="V28" s="126" t="s">
        <v>10</v>
      </c>
      <c r="W28" s="263"/>
      <c r="X28" s="244"/>
      <c r="Y28" s="245"/>
      <c r="Z28" s="246"/>
      <c r="AA28" s="10">
        <f t="shared" si="5"/>
        <v>6.750000000000002</v>
      </c>
      <c r="AB28" s="7">
        <v>3.75</v>
      </c>
      <c r="AC28" s="7"/>
      <c r="AD28" s="7"/>
      <c r="AE28" s="7"/>
      <c r="AF28" s="7"/>
    </row>
    <row r="29" spans="1:32" ht="12.75">
      <c r="A29" s="145">
        <f t="shared" si="2"/>
        <v>5.75</v>
      </c>
      <c r="B29" s="146">
        <f t="shared" si="4"/>
        <v>9.583333333333334</v>
      </c>
      <c r="C29" s="146">
        <f t="shared" si="3"/>
        <v>21.083333333333332</v>
      </c>
      <c r="D29" s="147" t="s">
        <v>55</v>
      </c>
      <c r="E29" s="108" t="s">
        <v>20</v>
      </c>
      <c r="F29" s="108" t="s">
        <v>20</v>
      </c>
      <c r="G29" s="108" t="s">
        <v>20</v>
      </c>
      <c r="H29" s="108" t="s">
        <v>20</v>
      </c>
      <c r="I29" s="108" t="s">
        <v>20</v>
      </c>
      <c r="J29" s="108" t="s">
        <v>20</v>
      </c>
      <c r="K29" s="107" t="s">
        <v>16</v>
      </c>
      <c r="L29" s="107" t="s">
        <v>16</v>
      </c>
      <c r="M29" s="107" t="s">
        <v>17</v>
      </c>
      <c r="N29" s="107" t="s">
        <v>17</v>
      </c>
      <c r="O29" s="107" t="s">
        <v>10</v>
      </c>
      <c r="P29" s="107" t="s">
        <v>10</v>
      </c>
      <c r="Q29" s="126" t="s">
        <v>16</v>
      </c>
      <c r="R29" s="126" t="s">
        <v>16</v>
      </c>
      <c r="S29" s="126" t="s">
        <v>17</v>
      </c>
      <c r="T29" s="126" t="s">
        <v>17</v>
      </c>
      <c r="U29" s="126" t="s">
        <v>10</v>
      </c>
      <c r="V29" s="126" t="s">
        <v>10</v>
      </c>
      <c r="W29" s="263"/>
      <c r="X29" s="244"/>
      <c r="Y29" s="245"/>
      <c r="Z29" s="246"/>
      <c r="AA29" s="10">
        <f t="shared" si="5"/>
        <v>7.200000000000002</v>
      </c>
      <c r="AB29" s="7">
        <v>4</v>
      </c>
      <c r="AC29" s="7"/>
      <c r="AD29" s="7"/>
      <c r="AE29" s="7"/>
      <c r="AF29" s="7"/>
    </row>
    <row r="30" spans="1:32" ht="12.75">
      <c r="A30" s="145">
        <f t="shared" si="2"/>
        <v>5.75</v>
      </c>
      <c r="B30" s="146">
        <f t="shared" si="4"/>
        <v>9.583333333333334</v>
      </c>
      <c r="C30" s="146">
        <f t="shared" si="3"/>
        <v>21.083333333333332</v>
      </c>
      <c r="D30" s="147" t="s">
        <v>56</v>
      </c>
      <c r="E30" s="108" t="s">
        <v>20</v>
      </c>
      <c r="F30" s="108" t="s">
        <v>20</v>
      </c>
      <c r="G30" s="108" t="s">
        <v>20</v>
      </c>
      <c r="H30" s="108" t="s">
        <v>20</v>
      </c>
      <c r="I30" s="108" t="s">
        <v>20</v>
      </c>
      <c r="J30" s="108" t="s">
        <v>20</v>
      </c>
      <c r="K30" s="107" t="s">
        <v>16</v>
      </c>
      <c r="L30" s="107" t="s">
        <v>16</v>
      </c>
      <c r="M30" s="107" t="s">
        <v>17</v>
      </c>
      <c r="N30" s="107" t="s">
        <v>17</v>
      </c>
      <c r="O30" s="107" t="s">
        <v>10</v>
      </c>
      <c r="P30" s="107" t="s">
        <v>10</v>
      </c>
      <c r="Q30" s="126" t="s">
        <v>16</v>
      </c>
      <c r="R30" s="126" t="s">
        <v>16</v>
      </c>
      <c r="S30" s="126" t="s">
        <v>17</v>
      </c>
      <c r="T30" s="126" t="s">
        <v>17</v>
      </c>
      <c r="U30" s="126" t="s">
        <v>10</v>
      </c>
      <c r="V30" s="126" t="s">
        <v>10</v>
      </c>
      <c r="W30" s="263"/>
      <c r="X30" s="244"/>
      <c r="Y30" s="245"/>
      <c r="Z30" s="246"/>
      <c r="AA30" s="10">
        <f t="shared" si="5"/>
        <v>7.650000000000002</v>
      </c>
      <c r="AB30" s="7">
        <v>4.25</v>
      </c>
      <c r="AC30" s="7"/>
      <c r="AD30" s="7"/>
      <c r="AE30" s="7"/>
      <c r="AF30" s="7"/>
    </row>
    <row r="31" spans="1:32" ht="12.75">
      <c r="A31" s="145">
        <f t="shared" si="2"/>
        <v>10</v>
      </c>
      <c r="B31" s="146">
        <f t="shared" si="4"/>
        <v>15</v>
      </c>
      <c r="C31" s="146">
        <f t="shared" si="3"/>
        <v>35</v>
      </c>
      <c r="D31" s="147" t="s">
        <v>57</v>
      </c>
      <c r="E31" s="108" t="s">
        <v>16</v>
      </c>
      <c r="F31" s="108" t="s">
        <v>16</v>
      </c>
      <c r="G31" s="108" t="s">
        <v>16</v>
      </c>
      <c r="H31" s="108" t="s">
        <v>16</v>
      </c>
      <c r="I31" s="108" t="s">
        <v>16</v>
      </c>
      <c r="J31" s="108" t="s">
        <v>16</v>
      </c>
      <c r="K31" s="107" t="s">
        <v>16</v>
      </c>
      <c r="L31" s="107" t="s">
        <v>16</v>
      </c>
      <c r="M31" s="107" t="s">
        <v>16</v>
      </c>
      <c r="N31" s="107" t="s">
        <v>16</v>
      </c>
      <c r="O31" s="107" t="s">
        <v>16</v>
      </c>
      <c r="P31" s="107" t="s">
        <v>16</v>
      </c>
      <c r="Q31" s="126" t="s">
        <v>16</v>
      </c>
      <c r="R31" s="126" t="s">
        <v>16</v>
      </c>
      <c r="S31" s="126" t="s">
        <v>16</v>
      </c>
      <c r="T31" s="126" t="s">
        <v>16</v>
      </c>
      <c r="U31" s="126" t="s">
        <v>16</v>
      </c>
      <c r="V31" s="126" t="s">
        <v>16</v>
      </c>
      <c r="W31" s="264"/>
      <c r="X31" s="244"/>
      <c r="Y31" s="245"/>
      <c r="Z31" s="246"/>
      <c r="AA31" s="10">
        <f t="shared" si="5"/>
        <v>8.100000000000001</v>
      </c>
      <c r="AB31" s="7">
        <v>4.5</v>
      </c>
      <c r="AC31" s="7"/>
      <c r="AD31" s="7"/>
      <c r="AE31" s="7"/>
      <c r="AF31" s="7"/>
    </row>
    <row r="32" spans="1:32" ht="12.75">
      <c r="A32" s="188"/>
      <c r="B32" s="189"/>
      <c r="C32" s="189"/>
      <c r="D32" s="190"/>
      <c r="E32" s="250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2"/>
      <c r="X32" s="244"/>
      <c r="Y32" s="245"/>
      <c r="Z32" s="246"/>
      <c r="AA32" s="10">
        <f t="shared" si="5"/>
        <v>8.55</v>
      </c>
      <c r="AB32" s="7">
        <v>4.75</v>
      </c>
      <c r="AC32" s="7"/>
      <c r="AD32" s="7"/>
      <c r="AE32" s="7"/>
      <c r="AF32" s="7"/>
    </row>
    <row r="33" spans="1:32" ht="12.75">
      <c r="A33" s="191"/>
      <c r="B33" s="192"/>
      <c r="C33" s="192"/>
      <c r="D33" s="193"/>
      <c r="E33" s="253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5"/>
      <c r="X33" s="244"/>
      <c r="Y33" s="245"/>
      <c r="Z33" s="246"/>
      <c r="AA33" s="10">
        <f t="shared" si="5"/>
        <v>9</v>
      </c>
      <c r="AB33" s="7">
        <v>5</v>
      </c>
      <c r="AC33" s="7"/>
      <c r="AD33" s="7"/>
      <c r="AE33" s="7"/>
      <c r="AF33" s="7"/>
    </row>
    <row r="34" spans="1:32" ht="15.75">
      <c r="A34" s="191"/>
      <c r="B34" s="192"/>
      <c r="C34" s="192"/>
      <c r="D34" s="193"/>
      <c r="E34" s="148" t="str">
        <f>GRIGLIA!$C$8</f>
        <v>G</v>
      </c>
      <c r="F34" s="148" t="str">
        <f>GRIGLIA!$C$8</f>
        <v>G</v>
      </c>
      <c r="G34" s="148" t="str">
        <f>GRIGLIA!$C$8</f>
        <v>G</v>
      </c>
      <c r="H34" s="148" t="str">
        <f>GRIGLIA!$C$8</f>
        <v>G</v>
      </c>
      <c r="I34" s="148" t="str">
        <f>GRIGLIA!$C$8</f>
        <v>G</v>
      </c>
      <c r="J34" s="148" t="str">
        <f>GRIGLIA!$C$8</f>
        <v>G</v>
      </c>
      <c r="K34" s="148" t="str">
        <f>GRIGLIA!$C$8</f>
        <v>G</v>
      </c>
      <c r="L34" s="148" t="str">
        <f>GRIGLIA!$C$8</f>
        <v>G</v>
      </c>
      <c r="M34" s="148" t="str">
        <f>GRIGLIA!$C$8</f>
        <v>G</v>
      </c>
      <c r="N34" s="148" t="str">
        <f>GRIGLIA!$C$8</f>
        <v>G</v>
      </c>
      <c r="O34" s="148" t="str">
        <f>GRIGLIA!$C$8</f>
        <v>G</v>
      </c>
      <c r="P34" s="148" t="str">
        <f>GRIGLIA!$C$8</f>
        <v>G</v>
      </c>
      <c r="Q34" s="148" t="str">
        <f>GRIGLIA!$C$8</f>
        <v>G</v>
      </c>
      <c r="R34" s="148" t="str">
        <f>GRIGLIA!$C$8</f>
        <v>G</v>
      </c>
      <c r="S34" s="148" t="str">
        <f>GRIGLIA!$C$8</f>
        <v>G</v>
      </c>
      <c r="T34" s="148" t="str">
        <f>GRIGLIA!$C$8</f>
        <v>G</v>
      </c>
      <c r="U34" s="148" t="str">
        <f>GRIGLIA!$C$8</f>
        <v>G</v>
      </c>
      <c r="V34" s="148" t="str">
        <f>GRIGLIA!$C$8</f>
        <v>G</v>
      </c>
      <c r="W34" s="259"/>
      <c r="X34" s="244"/>
      <c r="Y34" s="245"/>
      <c r="Z34" s="246"/>
      <c r="AA34" s="10">
        <f t="shared" si="5"/>
        <v>9.45</v>
      </c>
      <c r="AB34" s="7">
        <v>5.25</v>
      </c>
      <c r="AC34" s="7"/>
      <c r="AD34" s="7"/>
      <c r="AE34" s="7"/>
      <c r="AF34" s="7"/>
    </row>
    <row r="35" spans="1:32" ht="12.75">
      <c r="A35" s="191"/>
      <c r="B35" s="192"/>
      <c r="C35" s="192"/>
      <c r="D35" s="193"/>
      <c r="E35" s="149">
        <v>2</v>
      </c>
      <c r="F35" s="149">
        <f>E35+1</f>
        <v>3</v>
      </c>
      <c r="G35" s="149">
        <f aca="true" t="shared" si="6" ref="G35:V35">F35+1</f>
        <v>4</v>
      </c>
      <c r="H35" s="149">
        <f>G35+1</f>
        <v>5</v>
      </c>
      <c r="I35" s="149">
        <f t="shared" si="6"/>
        <v>6</v>
      </c>
      <c r="J35" s="149">
        <f t="shared" si="6"/>
        <v>7</v>
      </c>
      <c r="K35" s="149">
        <f t="shared" si="6"/>
        <v>8</v>
      </c>
      <c r="L35" s="149">
        <f t="shared" si="6"/>
        <v>9</v>
      </c>
      <c r="M35" s="149">
        <f t="shared" si="6"/>
        <v>10</v>
      </c>
      <c r="N35" s="149">
        <f t="shared" si="6"/>
        <v>11</v>
      </c>
      <c r="O35" s="149">
        <f t="shared" si="6"/>
        <v>12</v>
      </c>
      <c r="P35" s="149">
        <f t="shared" si="6"/>
        <v>13</v>
      </c>
      <c r="Q35" s="149">
        <f t="shared" si="6"/>
        <v>14</v>
      </c>
      <c r="R35" s="149">
        <f t="shared" si="6"/>
        <v>15</v>
      </c>
      <c r="S35" s="149">
        <f t="shared" si="6"/>
        <v>16</v>
      </c>
      <c r="T35" s="149">
        <f t="shared" si="6"/>
        <v>17</v>
      </c>
      <c r="U35" s="149">
        <f t="shared" si="6"/>
        <v>18</v>
      </c>
      <c r="V35" s="149">
        <f t="shared" si="6"/>
        <v>19</v>
      </c>
      <c r="W35" s="260"/>
      <c r="X35" s="244"/>
      <c r="Y35" s="245"/>
      <c r="Z35" s="246"/>
      <c r="AA35" s="10">
        <f t="shared" si="5"/>
        <v>9.899999999999999</v>
      </c>
      <c r="AB35" s="7">
        <v>5.5</v>
      </c>
      <c r="AC35" s="7"/>
      <c r="AD35" s="7"/>
      <c r="AE35" s="7"/>
      <c r="AF35" s="7"/>
    </row>
    <row r="36" spans="1:32" s="3" customFormat="1" ht="15.75">
      <c r="A36" s="239" t="s">
        <v>155</v>
      </c>
      <c r="B36" s="240"/>
      <c r="C36" s="194"/>
      <c r="D36" s="195"/>
      <c r="E36" s="256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8"/>
      <c r="W36" s="261"/>
      <c r="X36" s="247"/>
      <c r="Y36" s="248"/>
      <c r="Z36" s="249"/>
      <c r="AA36" s="10">
        <f t="shared" si="5"/>
        <v>10.349999999999998</v>
      </c>
      <c r="AB36" s="7">
        <v>5.75</v>
      </c>
      <c r="AC36" s="7"/>
      <c r="AD36" s="1"/>
      <c r="AE36" s="1"/>
      <c r="AF36" s="1"/>
    </row>
    <row r="37" spans="1:32" s="3" customFormat="1" ht="57" customHeight="1">
      <c r="A37" s="140" t="str">
        <f>A4</f>
        <v>VOTO IN DECIMI</v>
      </c>
      <c r="B37" s="141" t="str">
        <f>B4</f>
        <v>VOTO IN 15mi</v>
      </c>
      <c r="C37" s="141" t="str">
        <f>C4</f>
        <v>VOTO IN 35mi</v>
      </c>
      <c r="D37" s="142" t="str">
        <f>D4</f>
        <v>ALUNNO</v>
      </c>
      <c r="E37" s="144">
        <f>E4</f>
        <v>1</v>
      </c>
      <c r="F37" s="144">
        <f aca="true" t="shared" si="7" ref="F37:V37">F4</f>
        <v>2</v>
      </c>
      <c r="G37" s="144">
        <f t="shared" si="7"/>
        <v>3</v>
      </c>
      <c r="H37" s="144">
        <f t="shared" si="7"/>
        <v>4</v>
      </c>
      <c r="I37" s="144">
        <f t="shared" si="7"/>
        <v>5</v>
      </c>
      <c r="J37" s="144">
        <f t="shared" si="7"/>
        <v>6</v>
      </c>
      <c r="K37" s="144">
        <f t="shared" si="7"/>
        <v>7</v>
      </c>
      <c r="L37" s="144">
        <f t="shared" si="7"/>
        <v>8</v>
      </c>
      <c r="M37" s="144">
        <f t="shared" si="7"/>
        <v>9</v>
      </c>
      <c r="N37" s="144">
        <f t="shared" si="7"/>
        <v>10</v>
      </c>
      <c r="O37" s="144">
        <f t="shared" si="7"/>
        <v>11</v>
      </c>
      <c r="P37" s="144">
        <f t="shared" si="7"/>
        <v>12</v>
      </c>
      <c r="Q37" s="144">
        <f t="shared" si="7"/>
        <v>13</v>
      </c>
      <c r="R37" s="144">
        <f t="shared" si="7"/>
        <v>14</v>
      </c>
      <c r="S37" s="144">
        <f t="shared" si="7"/>
        <v>15</v>
      </c>
      <c r="T37" s="144">
        <f t="shared" si="7"/>
        <v>16</v>
      </c>
      <c r="U37" s="144">
        <f t="shared" si="7"/>
        <v>17</v>
      </c>
      <c r="V37" s="144">
        <f t="shared" si="7"/>
        <v>18</v>
      </c>
      <c r="W37" s="167" t="s">
        <v>119</v>
      </c>
      <c r="X37" s="167" t="s">
        <v>121</v>
      </c>
      <c r="Y37" s="167" t="s">
        <v>132</v>
      </c>
      <c r="Z37" s="168" t="s">
        <v>133</v>
      </c>
      <c r="AA37" s="10">
        <f t="shared" si="5"/>
        <v>10.799999999999997</v>
      </c>
      <c r="AB37" s="7">
        <v>6</v>
      </c>
      <c r="AC37" s="7"/>
      <c r="AD37" s="7"/>
      <c r="AE37" s="1"/>
      <c r="AF37" s="1"/>
    </row>
    <row r="38" spans="1:32" ht="12.75">
      <c r="A38" s="145">
        <f>X38</f>
        <v>10</v>
      </c>
      <c r="B38" s="146">
        <f>Y38</f>
        <v>15</v>
      </c>
      <c r="C38" s="146">
        <f>Z38</f>
        <v>35</v>
      </c>
      <c r="D38" s="150" t="str">
        <f aca="true" t="shared" si="8" ref="D38:D67">D5</f>
        <v>studente1</v>
      </c>
      <c r="E38" s="151">
        <f aca="true" t="shared" si="9" ref="E38:V38">IF(E5="","",IF(E$34=$D$69,VLOOKUP(E5,SCELTAV1Q1,E$35),IF(E$34=$D$76,VLOOKUP(E5,GIUDIZIA,E$35),E5*E$85)))</f>
        <v>1</v>
      </c>
      <c r="F38" s="151">
        <f t="shared" si="9"/>
        <v>1</v>
      </c>
      <c r="G38" s="151">
        <f t="shared" si="9"/>
        <v>1</v>
      </c>
      <c r="H38" s="151">
        <f t="shared" si="9"/>
        <v>1</v>
      </c>
      <c r="I38" s="151">
        <f t="shared" si="9"/>
        <v>1</v>
      </c>
      <c r="J38" s="151">
        <f t="shared" si="9"/>
        <v>1</v>
      </c>
      <c r="K38" s="152">
        <f t="shared" si="9"/>
        <v>1</v>
      </c>
      <c r="L38" s="152">
        <f t="shared" si="9"/>
        <v>1</v>
      </c>
      <c r="M38" s="152">
        <f t="shared" si="9"/>
        <v>1</v>
      </c>
      <c r="N38" s="152">
        <f t="shared" si="9"/>
        <v>1</v>
      </c>
      <c r="O38" s="152">
        <f t="shared" si="9"/>
        <v>1</v>
      </c>
      <c r="P38" s="152">
        <f t="shared" si="9"/>
        <v>1</v>
      </c>
      <c r="Q38" s="153">
        <f t="shared" si="9"/>
        <v>1</v>
      </c>
      <c r="R38" s="153">
        <f t="shared" si="9"/>
        <v>1</v>
      </c>
      <c r="S38" s="153">
        <f t="shared" si="9"/>
        <v>1</v>
      </c>
      <c r="T38" s="153">
        <f t="shared" si="9"/>
        <v>1</v>
      </c>
      <c r="U38" s="153">
        <f t="shared" si="9"/>
        <v>1</v>
      </c>
      <c r="V38" s="153">
        <f t="shared" si="9"/>
        <v>1</v>
      </c>
      <c r="W38" s="154">
        <f>SUM(E38:V38)</f>
        <v>18</v>
      </c>
      <c r="X38" s="155">
        <f>VLOOKUP(W38,$AA$13:$AB$53,2)</f>
        <v>10</v>
      </c>
      <c r="Y38" s="67">
        <f>IF(X38&gt;6,10+(X38-6)*5/4,X38*10/6)</f>
        <v>15</v>
      </c>
      <c r="Z38" s="156">
        <f>IF(X38&gt;6,22+(X38-6)*13/4,X38*22/6)</f>
        <v>35</v>
      </c>
      <c r="AA38" s="10">
        <f t="shared" si="5"/>
        <v>11.249999999999996</v>
      </c>
      <c r="AB38" s="7">
        <v>6.25</v>
      </c>
      <c r="AC38" s="7"/>
      <c r="AD38" s="7"/>
      <c r="AE38" s="7"/>
      <c r="AF38" s="7"/>
    </row>
    <row r="39" spans="1:32" ht="12.75">
      <c r="A39" s="145">
        <f aca="true" t="shared" si="10" ref="A39:A64">X39</f>
        <v>7.5</v>
      </c>
      <c r="B39" s="146">
        <f aca="true" t="shared" si="11" ref="B39:B64">Y39</f>
        <v>11.875</v>
      </c>
      <c r="C39" s="146">
        <f aca="true" t="shared" si="12" ref="C39:C64">Z39</f>
        <v>26.875</v>
      </c>
      <c r="D39" s="150" t="str">
        <f t="shared" si="8"/>
        <v>studente2</v>
      </c>
      <c r="E39" s="151">
        <f aca="true" t="shared" si="13" ref="E39:V39">IF(E6="","",IF(E$34=$D$69,VLOOKUP(E6,SCELTAV1Q1,E$35),IF(E$34=$D$76,VLOOKUP(E6,GIUDIZIA,E$35),E6*E$85)))</f>
        <v>0.75</v>
      </c>
      <c r="F39" s="151">
        <f t="shared" si="13"/>
        <v>0.75</v>
      </c>
      <c r="G39" s="151">
        <f t="shared" si="13"/>
        <v>0.75</v>
      </c>
      <c r="H39" s="151">
        <f t="shared" si="13"/>
        <v>0.75</v>
      </c>
      <c r="I39" s="151">
        <f t="shared" si="13"/>
        <v>0.75</v>
      </c>
      <c r="J39" s="151">
        <f t="shared" si="13"/>
        <v>0.75</v>
      </c>
      <c r="K39" s="152">
        <f t="shared" si="13"/>
        <v>0.75</v>
      </c>
      <c r="L39" s="152">
        <f t="shared" si="13"/>
        <v>0.75</v>
      </c>
      <c r="M39" s="152">
        <f t="shared" si="13"/>
        <v>0.75</v>
      </c>
      <c r="N39" s="152">
        <f t="shared" si="13"/>
        <v>0.75</v>
      </c>
      <c r="O39" s="152">
        <f t="shared" si="13"/>
        <v>0.75</v>
      </c>
      <c r="P39" s="152">
        <f t="shared" si="13"/>
        <v>0.75</v>
      </c>
      <c r="Q39" s="153">
        <f t="shared" si="13"/>
        <v>0.75</v>
      </c>
      <c r="R39" s="153">
        <f t="shared" si="13"/>
        <v>0.75</v>
      </c>
      <c r="S39" s="153">
        <f t="shared" si="13"/>
        <v>0.75</v>
      </c>
      <c r="T39" s="153">
        <f t="shared" si="13"/>
        <v>0.75</v>
      </c>
      <c r="U39" s="153">
        <f t="shared" si="13"/>
        <v>0.75</v>
      </c>
      <c r="V39" s="153">
        <f t="shared" si="13"/>
        <v>0.75</v>
      </c>
      <c r="W39" s="154">
        <f aca="true" t="shared" si="14" ref="W39:W64">SUM(E39:V39)</f>
        <v>13.5</v>
      </c>
      <c r="X39" s="155">
        <f aca="true" t="shared" si="15" ref="X39:X64">VLOOKUP(W39,$AA$13:$AB$53,2)</f>
        <v>7.5</v>
      </c>
      <c r="Y39" s="67">
        <f aca="true" t="shared" si="16" ref="Y39:Y64">IF(X39&gt;6,10+(X39-6)*5/4,X39*10/6)</f>
        <v>11.875</v>
      </c>
      <c r="Z39" s="156">
        <f aca="true" t="shared" si="17" ref="Z39:Z64">IF(X39&gt;6,22+(X39-6)*13/4,X39*22/6)</f>
        <v>26.875</v>
      </c>
      <c r="AA39" s="10">
        <f t="shared" si="5"/>
        <v>11.699999999999996</v>
      </c>
      <c r="AB39" s="7">
        <v>6.5</v>
      </c>
      <c r="AC39" s="7"/>
      <c r="AD39" s="7"/>
      <c r="AE39" s="7"/>
      <c r="AF39" s="7"/>
    </row>
    <row r="40" spans="1:32" ht="12.75">
      <c r="A40" s="145">
        <f t="shared" si="10"/>
        <v>5</v>
      </c>
      <c r="B40" s="146">
        <f t="shared" si="11"/>
        <v>8.333333333333334</v>
      </c>
      <c r="C40" s="146">
        <f t="shared" si="12"/>
        <v>18.333333333333332</v>
      </c>
      <c r="D40" s="150" t="str">
        <f t="shared" si="8"/>
        <v>studente3</v>
      </c>
      <c r="E40" s="151">
        <f aca="true" t="shared" si="18" ref="E40:V40">IF(E7="","",IF(E$34=$D$69,VLOOKUP(E7,SCELTAV1Q1,E$35),IF(E$34=$D$76,VLOOKUP(E7,GIUDIZIA,E$35),E7*E$85)))</f>
        <v>0.5</v>
      </c>
      <c r="F40" s="151">
        <f t="shared" si="18"/>
        <v>0.5</v>
      </c>
      <c r="G40" s="151">
        <f t="shared" si="18"/>
        <v>0.5</v>
      </c>
      <c r="H40" s="151">
        <f t="shared" si="18"/>
        <v>0.5</v>
      </c>
      <c r="I40" s="151">
        <f t="shared" si="18"/>
        <v>0.5</v>
      </c>
      <c r="J40" s="151">
        <f t="shared" si="18"/>
        <v>0.5</v>
      </c>
      <c r="K40" s="152">
        <f t="shared" si="18"/>
        <v>0.5</v>
      </c>
      <c r="L40" s="152">
        <f t="shared" si="18"/>
        <v>0.5</v>
      </c>
      <c r="M40" s="152">
        <f t="shared" si="18"/>
        <v>0.5</v>
      </c>
      <c r="N40" s="152">
        <f t="shared" si="18"/>
        <v>0.5</v>
      </c>
      <c r="O40" s="152">
        <f t="shared" si="18"/>
        <v>0.5</v>
      </c>
      <c r="P40" s="152">
        <f t="shared" si="18"/>
        <v>0.5</v>
      </c>
      <c r="Q40" s="153">
        <f t="shared" si="18"/>
        <v>0.5</v>
      </c>
      <c r="R40" s="153">
        <f t="shared" si="18"/>
        <v>0.5</v>
      </c>
      <c r="S40" s="153">
        <f t="shared" si="18"/>
        <v>0.5</v>
      </c>
      <c r="T40" s="153">
        <f t="shared" si="18"/>
        <v>0.5</v>
      </c>
      <c r="U40" s="153">
        <f t="shared" si="18"/>
        <v>0.5</v>
      </c>
      <c r="V40" s="153">
        <f t="shared" si="18"/>
        <v>0.5</v>
      </c>
      <c r="W40" s="154">
        <f t="shared" si="14"/>
        <v>9</v>
      </c>
      <c r="X40" s="155">
        <f t="shared" si="15"/>
        <v>5</v>
      </c>
      <c r="Y40" s="67">
        <f t="shared" si="16"/>
        <v>8.333333333333334</v>
      </c>
      <c r="Z40" s="156">
        <f t="shared" si="17"/>
        <v>18.333333333333332</v>
      </c>
      <c r="AA40" s="10">
        <f t="shared" si="5"/>
        <v>12.149999999999995</v>
      </c>
      <c r="AB40" s="7">
        <v>6.75</v>
      </c>
      <c r="AC40" s="7"/>
      <c r="AD40" s="7"/>
      <c r="AE40" s="7"/>
      <c r="AF40" s="7"/>
    </row>
    <row r="41" spans="1:32" ht="12.75">
      <c r="A41" s="145">
        <f t="shared" si="10"/>
        <v>2.25</v>
      </c>
      <c r="B41" s="146">
        <f t="shared" si="11"/>
        <v>3.75</v>
      </c>
      <c r="C41" s="146">
        <f t="shared" si="12"/>
        <v>8.25</v>
      </c>
      <c r="D41" s="150" t="str">
        <f t="shared" si="8"/>
        <v>studente4</v>
      </c>
      <c r="E41" s="151">
        <f aca="true" t="shared" si="19" ref="E41:V41">IF(E8="","",IF(E$34=$D$69,VLOOKUP(E8,SCELTAV1Q1,E$35),IF(E$34=$D$76,VLOOKUP(E8,GIUDIZIA,E$35),E8*E$85)))</f>
        <v>0.25</v>
      </c>
      <c r="F41" s="151">
        <f t="shared" si="19"/>
        <v>0.25</v>
      </c>
      <c r="G41" s="151">
        <f t="shared" si="19"/>
        <v>0.25</v>
      </c>
      <c r="H41" s="151">
        <f t="shared" si="19"/>
        <v>0.25</v>
      </c>
      <c r="I41" s="151">
        <f t="shared" si="19"/>
        <v>0.25</v>
      </c>
      <c r="J41" s="151">
        <f t="shared" si="19"/>
        <v>0.25</v>
      </c>
      <c r="K41" s="152">
        <f t="shared" si="19"/>
        <v>0.25</v>
      </c>
      <c r="L41" s="152">
        <f t="shared" si="19"/>
        <v>0.25</v>
      </c>
      <c r="M41" s="152">
        <f t="shared" si="19"/>
        <v>0.25</v>
      </c>
      <c r="N41" s="152">
        <f t="shared" si="19"/>
        <v>0.25</v>
      </c>
      <c r="O41" s="152">
        <f t="shared" si="19"/>
        <v>0.25</v>
      </c>
      <c r="P41" s="152">
        <f t="shared" si="19"/>
        <v>0.25</v>
      </c>
      <c r="Q41" s="153">
        <f t="shared" si="19"/>
        <v>0.25</v>
      </c>
      <c r="R41" s="153">
        <f t="shared" si="19"/>
        <v>0.25</v>
      </c>
      <c r="S41" s="153">
        <f t="shared" si="19"/>
        <v>0.25</v>
      </c>
      <c r="T41" s="153">
        <f t="shared" si="19"/>
        <v>0.25</v>
      </c>
      <c r="U41" s="153">
        <f t="shared" si="19"/>
        <v>0.25</v>
      </c>
      <c r="V41" s="153">
        <f t="shared" si="19"/>
        <v>0.25</v>
      </c>
      <c r="W41" s="154">
        <f t="shared" si="14"/>
        <v>4.5</v>
      </c>
      <c r="X41" s="155">
        <f t="shared" si="15"/>
        <v>2.25</v>
      </c>
      <c r="Y41" s="67">
        <f t="shared" si="16"/>
        <v>3.75</v>
      </c>
      <c r="Z41" s="156">
        <f t="shared" si="17"/>
        <v>8.25</v>
      </c>
      <c r="AA41" s="10">
        <f t="shared" si="5"/>
        <v>12.599999999999994</v>
      </c>
      <c r="AB41" s="7">
        <v>7</v>
      </c>
      <c r="AC41" s="7"/>
      <c r="AD41" s="7"/>
      <c r="AE41" s="7"/>
      <c r="AF41" s="7"/>
    </row>
    <row r="42" spans="1:32" ht="12.75">
      <c r="A42" s="145">
        <f t="shared" si="10"/>
        <v>0</v>
      </c>
      <c r="B42" s="146">
        <f t="shared" si="11"/>
        <v>0</v>
      </c>
      <c r="C42" s="146">
        <f t="shared" si="12"/>
        <v>0</v>
      </c>
      <c r="D42" s="150" t="str">
        <f t="shared" si="8"/>
        <v>studente5</v>
      </c>
      <c r="E42" s="151">
        <f aca="true" t="shared" si="20" ref="E42:V42">IF(E9="","",IF(E$34=$D$69,VLOOKUP(E9,SCELTAV1Q1,E$35),IF(E$34=$D$76,VLOOKUP(E9,GIUDIZIA,E$35),E9*E$85)))</f>
        <v>0</v>
      </c>
      <c r="F42" s="151">
        <f t="shared" si="20"/>
        <v>0</v>
      </c>
      <c r="G42" s="151">
        <f t="shared" si="20"/>
        <v>0</v>
      </c>
      <c r="H42" s="151">
        <f t="shared" si="20"/>
        <v>0</v>
      </c>
      <c r="I42" s="151">
        <f t="shared" si="20"/>
        <v>0</v>
      </c>
      <c r="J42" s="151">
        <f t="shared" si="20"/>
        <v>0</v>
      </c>
      <c r="K42" s="152">
        <f t="shared" si="20"/>
        <v>0</v>
      </c>
      <c r="L42" s="152">
        <f t="shared" si="20"/>
        <v>0</v>
      </c>
      <c r="M42" s="152">
        <f t="shared" si="20"/>
        <v>0</v>
      </c>
      <c r="N42" s="152">
        <f t="shared" si="20"/>
        <v>0</v>
      </c>
      <c r="O42" s="152">
        <f t="shared" si="20"/>
        <v>0</v>
      </c>
      <c r="P42" s="152">
        <f t="shared" si="20"/>
        <v>0</v>
      </c>
      <c r="Q42" s="153">
        <f t="shared" si="20"/>
        <v>0</v>
      </c>
      <c r="R42" s="153">
        <f t="shared" si="20"/>
        <v>0</v>
      </c>
      <c r="S42" s="153">
        <f t="shared" si="20"/>
        <v>0</v>
      </c>
      <c r="T42" s="153">
        <f t="shared" si="20"/>
        <v>0</v>
      </c>
      <c r="U42" s="153">
        <f t="shared" si="20"/>
        <v>0</v>
      </c>
      <c r="V42" s="153">
        <f t="shared" si="20"/>
        <v>0</v>
      </c>
      <c r="W42" s="154">
        <f t="shared" si="14"/>
        <v>0</v>
      </c>
      <c r="X42" s="155">
        <f t="shared" si="15"/>
        <v>0</v>
      </c>
      <c r="Y42" s="67">
        <f t="shared" si="16"/>
        <v>0</v>
      </c>
      <c r="Z42" s="156">
        <f t="shared" si="17"/>
        <v>0</v>
      </c>
      <c r="AA42" s="10">
        <f t="shared" si="5"/>
        <v>13.049999999999994</v>
      </c>
      <c r="AB42" s="7">
        <v>7.25</v>
      </c>
      <c r="AD42" s="7"/>
      <c r="AE42" s="7"/>
      <c r="AF42" s="7"/>
    </row>
    <row r="43" spans="1:32" ht="12.75">
      <c r="A43" s="145">
        <f t="shared" si="10"/>
        <v>4.5</v>
      </c>
      <c r="B43" s="146">
        <f t="shared" si="11"/>
        <v>7.5</v>
      </c>
      <c r="C43" s="146">
        <f t="shared" si="12"/>
        <v>16.5</v>
      </c>
      <c r="D43" s="150" t="str">
        <f t="shared" si="8"/>
        <v>studente6</v>
      </c>
      <c r="E43" s="151">
        <f aca="true" t="shared" si="21" ref="E43:V43">IF(E10="","",IF(E$34=$D$69,VLOOKUP(E10,SCELTAV1Q1,E$35),IF(E$34=$D$76,VLOOKUP(E10,GIUDIZIA,E$35),E10*E$85)))</f>
        <v>1</v>
      </c>
      <c r="F43" s="151">
        <f t="shared" si="21"/>
        <v>0.75</v>
      </c>
      <c r="G43" s="151">
        <f t="shared" si="21"/>
        <v>0.5</v>
      </c>
      <c r="H43" s="151">
        <f t="shared" si="21"/>
        <v>0.25</v>
      </c>
      <c r="I43" s="151">
        <f t="shared" si="21"/>
        <v>0</v>
      </c>
      <c r="J43" s="151">
        <f t="shared" si="21"/>
        <v>1</v>
      </c>
      <c r="K43" s="152">
        <f t="shared" si="21"/>
        <v>0.75</v>
      </c>
      <c r="L43" s="152">
        <f t="shared" si="21"/>
        <v>0.5</v>
      </c>
      <c r="M43" s="152">
        <f t="shared" si="21"/>
        <v>0.25</v>
      </c>
      <c r="N43" s="152">
        <f t="shared" si="21"/>
        <v>0</v>
      </c>
      <c r="O43" s="152">
        <f t="shared" si="21"/>
        <v>1</v>
      </c>
      <c r="P43" s="152">
        <f t="shared" si="21"/>
        <v>0.75</v>
      </c>
      <c r="Q43" s="153">
        <f t="shared" si="21"/>
        <v>0.5</v>
      </c>
      <c r="R43" s="153">
        <f t="shared" si="21"/>
        <v>0.25</v>
      </c>
      <c r="S43" s="153">
        <f t="shared" si="21"/>
        <v>0</v>
      </c>
      <c r="T43" s="153">
        <f t="shared" si="21"/>
        <v>0.25</v>
      </c>
      <c r="U43" s="153">
        <f t="shared" si="21"/>
        <v>0.25</v>
      </c>
      <c r="V43" s="153">
        <f t="shared" si="21"/>
        <v>0.25</v>
      </c>
      <c r="W43" s="154">
        <f t="shared" si="14"/>
        <v>8.25</v>
      </c>
      <c r="X43" s="155">
        <f t="shared" si="15"/>
        <v>4.5</v>
      </c>
      <c r="Y43" s="67">
        <f t="shared" si="16"/>
        <v>7.5</v>
      </c>
      <c r="Z43" s="156">
        <f t="shared" si="17"/>
        <v>16.5</v>
      </c>
      <c r="AA43" s="10">
        <f t="shared" si="5"/>
        <v>13.499999999999993</v>
      </c>
      <c r="AB43" s="7">
        <v>7.5</v>
      </c>
      <c r="AE43" s="7"/>
      <c r="AF43" s="7"/>
    </row>
    <row r="44" spans="1:32" ht="12.75">
      <c r="A44" s="145">
        <f t="shared" si="10"/>
        <v>2.25</v>
      </c>
      <c r="B44" s="146">
        <f t="shared" si="11"/>
        <v>3.75</v>
      </c>
      <c r="C44" s="146">
        <f t="shared" si="12"/>
        <v>8.25</v>
      </c>
      <c r="D44" s="150" t="str">
        <f t="shared" si="8"/>
        <v>studente7</v>
      </c>
      <c r="E44" s="151">
        <f aca="true" t="shared" si="22" ref="E44:V44">IF(E11="","",IF(E$34=$D$69,VLOOKUP(E11,SCELTAV1Q1,E$35),IF(E$34=$D$76,VLOOKUP(E11,GIUDIZIA,E$35),E11*E$85)))</f>
        <v>0.25</v>
      </c>
      <c r="F44" s="151">
        <f t="shared" si="22"/>
        <v>0.25</v>
      </c>
      <c r="G44" s="151">
        <f t="shared" si="22"/>
        <v>0.25</v>
      </c>
      <c r="H44" s="151">
        <f t="shared" si="22"/>
        <v>0.25</v>
      </c>
      <c r="I44" s="151">
        <f t="shared" si="22"/>
        <v>0.25</v>
      </c>
      <c r="J44" s="151">
        <f t="shared" si="22"/>
        <v>0.25</v>
      </c>
      <c r="K44" s="152">
        <f t="shared" si="22"/>
        <v>0.25</v>
      </c>
      <c r="L44" s="152">
        <f t="shared" si="22"/>
        <v>0.25</v>
      </c>
      <c r="M44" s="152">
        <f t="shared" si="22"/>
        <v>0.25</v>
      </c>
      <c r="N44" s="152">
        <f t="shared" si="22"/>
        <v>0.25</v>
      </c>
      <c r="O44" s="152">
        <f t="shared" si="22"/>
        <v>0.25</v>
      </c>
      <c r="P44" s="152">
        <f t="shared" si="22"/>
        <v>0.25</v>
      </c>
      <c r="Q44" s="153">
        <f t="shared" si="22"/>
        <v>0.25</v>
      </c>
      <c r="R44" s="153">
        <f t="shared" si="22"/>
        <v>0.25</v>
      </c>
      <c r="S44" s="153">
        <f t="shared" si="22"/>
        <v>0.25</v>
      </c>
      <c r="T44" s="153">
        <f t="shared" si="22"/>
        <v>0.25</v>
      </c>
      <c r="U44" s="153">
        <f t="shared" si="22"/>
        <v>0.25</v>
      </c>
      <c r="V44" s="153">
        <f t="shared" si="22"/>
        <v>0.25</v>
      </c>
      <c r="W44" s="154">
        <f t="shared" si="14"/>
        <v>4.5</v>
      </c>
      <c r="X44" s="155">
        <f t="shared" si="15"/>
        <v>2.25</v>
      </c>
      <c r="Y44" s="67">
        <f t="shared" si="16"/>
        <v>3.75</v>
      </c>
      <c r="Z44" s="156">
        <f t="shared" si="17"/>
        <v>8.25</v>
      </c>
      <c r="AA44" s="10">
        <f t="shared" si="5"/>
        <v>13.949999999999992</v>
      </c>
      <c r="AB44" s="7">
        <v>7.75</v>
      </c>
      <c r="AC44" s="7"/>
      <c r="AD44" s="7"/>
      <c r="AE44" s="7"/>
      <c r="AF44" s="7"/>
    </row>
    <row r="45" spans="1:32" ht="12.75">
      <c r="A45" s="145">
        <f t="shared" si="10"/>
        <v>7.5</v>
      </c>
      <c r="B45" s="146">
        <f t="shared" si="11"/>
        <v>11.875</v>
      </c>
      <c r="C45" s="146">
        <f t="shared" si="12"/>
        <v>26.875</v>
      </c>
      <c r="D45" s="150" t="str">
        <f t="shared" si="8"/>
        <v>studente8</v>
      </c>
      <c r="E45" s="151">
        <f aca="true" t="shared" si="23" ref="E45:V45">IF(E12="","",IF(E$34=$D$69,VLOOKUP(E12,SCELTAV1Q1,E$35),IF(E$34=$D$76,VLOOKUP(E12,GIUDIZIA,E$35),E12*E$85)))</f>
        <v>1</v>
      </c>
      <c r="F45" s="151">
        <f t="shared" si="23"/>
        <v>1</v>
      </c>
      <c r="G45" s="151">
        <f t="shared" si="23"/>
        <v>0.75</v>
      </c>
      <c r="H45" s="151">
        <f t="shared" si="23"/>
        <v>0.75</v>
      </c>
      <c r="I45" s="151">
        <f t="shared" si="23"/>
        <v>0.5</v>
      </c>
      <c r="J45" s="151">
        <f t="shared" si="23"/>
        <v>0.5</v>
      </c>
      <c r="K45" s="152">
        <f t="shared" si="23"/>
        <v>1</v>
      </c>
      <c r="L45" s="152">
        <f t="shared" si="23"/>
        <v>1</v>
      </c>
      <c r="M45" s="152">
        <f t="shared" si="23"/>
        <v>0.75</v>
      </c>
      <c r="N45" s="152">
        <f t="shared" si="23"/>
        <v>0.75</v>
      </c>
      <c r="O45" s="152">
        <f t="shared" si="23"/>
        <v>0.5</v>
      </c>
      <c r="P45" s="152">
        <f t="shared" si="23"/>
        <v>0.5</v>
      </c>
      <c r="Q45" s="153">
        <f t="shared" si="23"/>
        <v>1</v>
      </c>
      <c r="R45" s="153">
        <f t="shared" si="23"/>
        <v>1</v>
      </c>
      <c r="S45" s="153">
        <f t="shared" si="23"/>
        <v>0.75</v>
      </c>
      <c r="T45" s="153">
        <f t="shared" si="23"/>
        <v>0.75</v>
      </c>
      <c r="U45" s="153">
        <f t="shared" si="23"/>
        <v>0.5</v>
      </c>
      <c r="V45" s="153">
        <f t="shared" si="23"/>
        <v>0.5</v>
      </c>
      <c r="W45" s="154">
        <f t="shared" si="14"/>
        <v>13.5</v>
      </c>
      <c r="X45" s="155">
        <f t="shared" si="15"/>
        <v>7.5</v>
      </c>
      <c r="Y45" s="67">
        <f t="shared" si="16"/>
        <v>11.875</v>
      </c>
      <c r="Z45" s="156">
        <f t="shared" si="17"/>
        <v>26.875</v>
      </c>
      <c r="AA45" s="10">
        <f t="shared" si="5"/>
        <v>14.399999999999991</v>
      </c>
      <c r="AB45" s="7">
        <v>8</v>
      </c>
      <c r="AC45" s="7"/>
      <c r="AD45" s="7"/>
      <c r="AE45" s="7"/>
      <c r="AF45" s="7"/>
    </row>
    <row r="46" spans="1:32" ht="12.75">
      <c r="A46" s="145">
        <f t="shared" si="10"/>
        <v>5.75</v>
      </c>
      <c r="B46" s="146">
        <f t="shared" si="11"/>
        <v>9.583333333333334</v>
      </c>
      <c r="C46" s="146">
        <f t="shared" si="12"/>
        <v>21.083333333333332</v>
      </c>
      <c r="D46" s="150" t="str">
        <f t="shared" si="8"/>
        <v>studente9</v>
      </c>
      <c r="E46" s="151">
        <f aca="true" t="shared" si="24" ref="E46:V46">IF(E13="","",IF(E$34=$D$69,VLOOKUP(E13,SCELTAV1Q1,E$35),IF(E$34=$D$76,VLOOKUP(E13,GIUDIZIA,E$35),E13*E$85)))</f>
        <v>0.25</v>
      </c>
      <c r="F46" s="151">
        <f t="shared" si="24"/>
        <v>0.25</v>
      </c>
      <c r="G46" s="151">
        <f t="shared" si="24"/>
        <v>0.25</v>
      </c>
      <c r="H46" s="151">
        <f t="shared" si="24"/>
        <v>0.25</v>
      </c>
      <c r="I46" s="151">
        <f t="shared" si="24"/>
        <v>0.25</v>
      </c>
      <c r="J46" s="151">
        <f t="shared" si="24"/>
        <v>0.25</v>
      </c>
      <c r="K46" s="152">
        <f t="shared" si="24"/>
        <v>1</v>
      </c>
      <c r="L46" s="152">
        <f t="shared" si="24"/>
        <v>1</v>
      </c>
      <c r="M46" s="152">
        <f t="shared" si="24"/>
        <v>0.75</v>
      </c>
      <c r="N46" s="152">
        <f t="shared" si="24"/>
        <v>0.75</v>
      </c>
      <c r="O46" s="152">
        <f t="shared" si="24"/>
        <v>0.5</v>
      </c>
      <c r="P46" s="152">
        <f t="shared" si="24"/>
        <v>0.5</v>
      </c>
      <c r="Q46" s="153">
        <f t="shared" si="24"/>
        <v>1</v>
      </c>
      <c r="R46" s="153">
        <f t="shared" si="24"/>
        <v>1</v>
      </c>
      <c r="S46" s="153">
        <f t="shared" si="24"/>
        <v>0.75</v>
      </c>
      <c r="T46" s="153">
        <f t="shared" si="24"/>
        <v>0.75</v>
      </c>
      <c r="U46" s="153">
        <f t="shared" si="24"/>
        <v>0.5</v>
      </c>
      <c r="V46" s="153">
        <f t="shared" si="24"/>
        <v>0.5</v>
      </c>
      <c r="W46" s="154">
        <f t="shared" si="14"/>
        <v>10.5</v>
      </c>
      <c r="X46" s="155">
        <f t="shared" si="15"/>
        <v>5.75</v>
      </c>
      <c r="Y46" s="67">
        <f t="shared" si="16"/>
        <v>9.583333333333334</v>
      </c>
      <c r="Z46" s="156">
        <f t="shared" si="17"/>
        <v>21.083333333333332</v>
      </c>
      <c r="AA46" s="10">
        <f t="shared" si="5"/>
        <v>14.84999999999999</v>
      </c>
      <c r="AB46" s="7">
        <v>8.25</v>
      </c>
      <c r="AC46" s="7"/>
      <c r="AD46" s="7"/>
      <c r="AE46" s="7"/>
      <c r="AF46" s="7"/>
    </row>
    <row r="47" spans="1:32" ht="12.75">
      <c r="A47" s="145">
        <f t="shared" si="10"/>
        <v>5.75</v>
      </c>
      <c r="B47" s="146">
        <f t="shared" si="11"/>
        <v>9.583333333333334</v>
      </c>
      <c r="C47" s="146">
        <f t="shared" si="12"/>
        <v>21.083333333333332</v>
      </c>
      <c r="D47" s="150" t="str">
        <f t="shared" si="8"/>
        <v>studente10</v>
      </c>
      <c r="E47" s="151">
        <f aca="true" t="shared" si="25" ref="E47:V47">IF(E14="","",IF(E$34=$D$69,VLOOKUP(E14,SCELTAV1Q1,E$35),IF(E$34=$D$76,VLOOKUP(E14,GIUDIZIA,E$35),E14*E$85)))</f>
        <v>0.25</v>
      </c>
      <c r="F47" s="151">
        <f t="shared" si="25"/>
        <v>0.25</v>
      </c>
      <c r="G47" s="151">
        <f t="shared" si="25"/>
        <v>0.25</v>
      </c>
      <c r="H47" s="151">
        <f t="shared" si="25"/>
        <v>0.25</v>
      </c>
      <c r="I47" s="151">
        <f t="shared" si="25"/>
        <v>0.25</v>
      </c>
      <c r="J47" s="151">
        <f t="shared" si="25"/>
        <v>0.25</v>
      </c>
      <c r="K47" s="152">
        <f t="shared" si="25"/>
        <v>1</v>
      </c>
      <c r="L47" s="152">
        <f t="shared" si="25"/>
        <v>1</v>
      </c>
      <c r="M47" s="152">
        <f t="shared" si="25"/>
        <v>0.75</v>
      </c>
      <c r="N47" s="152">
        <f t="shared" si="25"/>
        <v>0.75</v>
      </c>
      <c r="O47" s="152">
        <f t="shared" si="25"/>
        <v>0.5</v>
      </c>
      <c r="P47" s="152">
        <f t="shared" si="25"/>
        <v>0.5</v>
      </c>
      <c r="Q47" s="153">
        <f t="shared" si="25"/>
        <v>1</v>
      </c>
      <c r="R47" s="153">
        <f t="shared" si="25"/>
        <v>1</v>
      </c>
      <c r="S47" s="153">
        <f t="shared" si="25"/>
        <v>0.75</v>
      </c>
      <c r="T47" s="153">
        <f t="shared" si="25"/>
        <v>0.75</v>
      </c>
      <c r="U47" s="153">
        <f t="shared" si="25"/>
        <v>0.5</v>
      </c>
      <c r="V47" s="153">
        <f t="shared" si="25"/>
        <v>0.5</v>
      </c>
      <c r="W47" s="154">
        <f t="shared" si="14"/>
        <v>10.5</v>
      </c>
      <c r="X47" s="155">
        <f t="shared" si="15"/>
        <v>5.75</v>
      </c>
      <c r="Y47" s="67">
        <f t="shared" si="16"/>
        <v>9.583333333333334</v>
      </c>
      <c r="Z47" s="156">
        <f t="shared" si="17"/>
        <v>21.083333333333332</v>
      </c>
      <c r="AA47" s="10">
        <f t="shared" si="5"/>
        <v>15.29999999999999</v>
      </c>
      <c r="AB47" s="7">
        <v>8.5</v>
      </c>
      <c r="AC47" s="7"/>
      <c r="AD47" s="7"/>
      <c r="AE47" s="7"/>
      <c r="AF47" s="7"/>
    </row>
    <row r="48" spans="1:32" ht="12.75">
      <c r="A48" s="145">
        <f t="shared" si="10"/>
        <v>5.75</v>
      </c>
      <c r="B48" s="146">
        <f t="shared" si="11"/>
        <v>9.583333333333334</v>
      </c>
      <c r="C48" s="146">
        <f t="shared" si="12"/>
        <v>21.083333333333332</v>
      </c>
      <c r="D48" s="150" t="str">
        <f t="shared" si="8"/>
        <v>studente11</v>
      </c>
      <c r="E48" s="151">
        <f aca="true" t="shared" si="26" ref="E48:V48">IF(E15="","",IF(E$34=$D$69,VLOOKUP(E15,SCELTAV1Q1,E$35),IF(E$34=$D$76,VLOOKUP(E15,GIUDIZIA,E$35),E15*E$85)))</f>
        <v>0.25</v>
      </c>
      <c r="F48" s="151">
        <f t="shared" si="26"/>
        <v>0.25</v>
      </c>
      <c r="G48" s="151">
        <f t="shared" si="26"/>
        <v>0.25</v>
      </c>
      <c r="H48" s="151">
        <f t="shared" si="26"/>
        <v>0.25</v>
      </c>
      <c r="I48" s="151">
        <f t="shared" si="26"/>
        <v>0.25</v>
      </c>
      <c r="J48" s="151">
        <f t="shared" si="26"/>
        <v>0.25</v>
      </c>
      <c r="K48" s="152">
        <f t="shared" si="26"/>
        <v>1</v>
      </c>
      <c r="L48" s="152">
        <f t="shared" si="26"/>
        <v>1</v>
      </c>
      <c r="M48" s="152">
        <f t="shared" si="26"/>
        <v>0.75</v>
      </c>
      <c r="N48" s="152">
        <f t="shared" si="26"/>
        <v>0.75</v>
      </c>
      <c r="O48" s="152">
        <f t="shared" si="26"/>
        <v>0.5</v>
      </c>
      <c r="P48" s="152">
        <f t="shared" si="26"/>
        <v>0.5</v>
      </c>
      <c r="Q48" s="153">
        <f t="shared" si="26"/>
        <v>1</v>
      </c>
      <c r="R48" s="153">
        <f t="shared" si="26"/>
        <v>1</v>
      </c>
      <c r="S48" s="153">
        <f t="shared" si="26"/>
        <v>0.75</v>
      </c>
      <c r="T48" s="153">
        <f t="shared" si="26"/>
        <v>0.75</v>
      </c>
      <c r="U48" s="153">
        <f t="shared" si="26"/>
        <v>0.5</v>
      </c>
      <c r="V48" s="153">
        <f t="shared" si="26"/>
        <v>0.5</v>
      </c>
      <c r="W48" s="154">
        <f t="shared" si="14"/>
        <v>10.5</v>
      </c>
      <c r="X48" s="155">
        <f t="shared" si="15"/>
        <v>5.75</v>
      </c>
      <c r="Y48" s="67">
        <f t="shared" si="16"/>
        <v>9.583333333333334</v>
      </c>
      <c r="Z48" s="156">
        <f t="shared" si="17"/>
        <v>21.083333333333332</v>
      </c>
      <c r="AA48" s="10">
        <f t="shared" si="5"/>
        <v>15.74999999999999</v>
      </c>
      <c r="AB48" s="7">
        <v>8.75</v>
      </c>
      <c r="AC48" s="7"/>
      <c r="AD48" s="7"/>
      <c r="AE48" s="7"/>
      <c r="AF48" s="7"/>
    </row>
    <row r="49" spans="1:32" ht="12.75">
      <c r="A49" s="145">
        <f t="shared" si="10"/>
        <v>5.75</v>
      </c>
      <c r="B49" s="146">
        <f t="shared" si="11"/>
        <v>9.583333333333334</v>
      </c>
      <c r="C49" s="146">
        <f t="shared" si="12"/>
        <v>21.083333333333332</v>
      </c>
      <c r="D49" s="150" t="str">
        <f t="shared" si="8"/>
        <v>studente12</v>
      </c>
      <c r="E49" s="151">
        <f aca="true" t="shared" si="27" ref="E49:V49">IF(E16="","",IF(E$34=$D$69,VLOOKUP(E16,SCELTAV1Q1,E$35),IF(E$34=$D$76,VLOOKUP(E16,GIUDIZIA,E$35),E16*E$85)))</f>
        <v>0.25</v>
      </c>
      <c r="F49" s="151">
        <f t="shared" si="27"/>
        <v>0.25</v>
      </c>
      <c r="G49" s="151">
        <f t="shared" si="27"/>
        <v>0.25</v>
      </c>
      <c r="H49" s="151">
        <f t="shared" si="27"/>
        <v>0.25</v>
      </c>
      <c r="I49" s="151">
        <f t="shared" si="27"/>
        <v>0.25</v>
      </c>
      <c r="J49" s="151">
        <f t="shared" si="27"/>
        <v>0.25</v>
      </c>
      <c r="K49" s="152">
        <f t="shared" si="27"/>
        <v>1</v>
      </c>
      <c r="L49" s="152">
        <f t="shared" si="27"/>
        <v>1</v>
      </c>
      <c r="M49" s="152">
        <f t="shared" si="27"/>
        <v>0.75</v>
      </c>
      <c r="N49" s="152">
        <f t="shared" si="27"/>
        <v>0.75</v>
      </c>
      <c r="O49" s="152">
        <f t="shared" si="27"/>
        <v>0.5</v>
      </c>
      <c r="P49" s="152">
        <f t="shared" si="27"/>
        <v>0.5</v>
      </c>
      <c r="Q49" s="153">
        <f t="shared" si="27"/>
        <v>1</v>
      </c>
      <c r="R49" s="153">
        <f t="shared" si="27"/>
        <v>1</v>
      </c>
      <c r="S49" s="153">
        <f t="shared" si="27"/>
        <v>0.75</v>
      </c>
      <c r="T49" s="153">
        <f t="shared" si="27"/>
        <v>0.75</v>
      </c>
      <c r="U49" s="153">
        <f t="shared" si="27"/>
        <v>0.5</v>
      </c>
      <c r="V49" s="153">
        <f t="shared" si="27"/>
        <v>0.5</v>
      </c>
      <c r="W49" s="154">
        <f t="shared" si="14"/>
        <v>10.5</v>
      </c>
      <c r="X49" s="155">
        <f t="shared" si="15"/>
        <v>5.75</v>
      </c>
      <c r="Y49" s="67">
        <f t="shared" si="16"/>
        <v>9.583333333333334</v>
      </c>
      <c r="Z49" s="156">
        <f t="shared" si="17"/>
        <v>21.083333333333332</v>
      </c>
      <c r="AA49" s="10">
        <f t="shared" si="5"/>
        <v>16.19999999999999</v>
      </c>
      <c r="AB49" s="7">
        <v>9</v>
      </c>
      <c r="AC49" s="7"/>
      <c r="AD49" s="7"/>
      <c r="AE49" s="7"/>
      <c r="AF49" s="7"/>
    </row>
    <row r="50" spans="1:32" ht="12.75">
      <c r="A50" s="145">
        <f t="shared" si="10"/>
        <v>5.75</v>
      </c>
      <c r="B50" s="146">
        <f t="shared" si="11"/>
        <v>9.583333333333334</v>
      </c>
      <c r="C50" s="146">
        <f t="shared" si="12"/>
        <v>21.083333333333332</v>
      </c>
      <c r="D50" s="150" t="str">
        <f t="shared" si="8"/>
        <v>studente13</v>
      </c>
      <c r="E50" s="151">
        <f aca="true" t="shared" si="28" ref="E50:V50">IF(E17="","",IF(E$34=$D$69,VLOOKUP(E17,SCELTAV1Q1,E$35),IF(E$34=$D$76,VLOOKUP(E17,GIUDIZIA,E$35),E17*E$85)))</f>
        <v>0.25</v>
      </c>
      <c r="F50" s="151">
        <f t="shared" si="28"/>
        <v>0.25</v>
      </c>
      <c r="G50" s="151">
        <f t="shared" si="28"/>
        <v>0.25</v>
      </c>
      <c r="H50" s="151">
        <f t="shared" si="28"/>
        <v>0.25</v>
      </c>
      <c r="I50" s="151">
        <f t="shared" si="28"/>
        <v>0.25</v>
      </c>
      <c r="J50" s="151">
        <f t="shared" si="28"/>
        <v>0.25</v>
      </c>
      <c r="K50" s="152">
        <f t="shared" si="28"/>
        <v>1</v>
      </c>
      <c r="L50" s="152">
        <f t="shared" si="28"/>
        <v>1</v>
      </c>
      <c r="M50" s="152">
        <f t="shared" si="28"/>
        <v>0.75</v>
      </c>
      <c r="N50" s="152">
        <f t="shared" si="28"/>
        <v>0.75</v>
      </c>
      <c r="O50" s="152">
        <f t="shared" si="28"/>
        <v>0.5</v>
      </c>
      <c r="P50" s="152">
        <f t="shared" si="28"/>
        <v>0.5</v>
      </c>
      <c r="Q50" s="153">
        <f t="shared" si="28"/>
        <v>1</v>
      </c>
      <c r="R50" s="153">
        <f t="shared" si="28"/>
        <v>1</v>
      </c>
      <c r="S50" s="153">
        <f t="shared" si="28"/>
        <v>0.75</v>
      </c>
      <c r="T50" s="153">
        <f t="shared" si="28"/>
        <v>0.75</v>
      </c>
      <c r="U50" s="153">
        <f t="shared" si="28"/>
        <v>0.5</v>
      </c>
      <c r="V50" s="153">
        <f t="shared" si="28"/>
        <v>0.5</v>
      </c>
      <c r="W50" s="154">
        <f t="shared" si="14"/>
        <v>10.5</v>
      </c>
      <c r="X50" s="155">
        <f t="shared" si="15"/>
        <v>5.75</v>
      </c>
      <c r="Y50" s="67">
        <f t="shared" si="16"/>
        <v>9.583333333333334</v>
      </c>
      <c r="Z50" s="156">
        <f t="shared" si="17"/>
        <v>21.083333333333332</v>
      </c>
      <c r="AA50" s="10">
        <f t="shared" si="5"/>
        <v>16.649999999999988</v>
      </c>
      <c r="AB50" s="7">
        <v>9.25</v>
      </c>
      <c r="AC50" s="7"/>
      <c r="AD50" s="7"/>
      <c r="AE50" s="7"/>
      <c r="AF50" s="7"/>
    </row>
    <row r="51" spans="1:32" ht="12.75">
      <c r="A51" s="145">
        <f t="shared" si="10"/>
        <v>6.25</v>
      </c>
      <c r="B51" s="146">
        <f t="shared" si="11"/>
        <v>10.3125</v>
      </c>
      <c r="C51" s="146">
        <f t="shared" si="12"/>
        <v>22.8125</v>
      </c>
      <c r="D51" s="150" t="str">
        <f t="shared" si="8"/>
        <v>studente14</v>
      </c>
      <c r="E51" s="151">
        <f aca="true" t="shared" si="29" ref="E51:V51">IF(E18="","",IF(E$34=$D$69,VLOOKUP(E18,SCELTAV1Q1,E$35),IF(E$34=$D$76,VLOOKUP(E18,GIUDIZIA,E$35),E18*E$85)))</f>
        <v>1</v>
      </c>
      <c r="F51" s="151">
        <f t="shared" si="29"/>
        <v>0.25</v>
      </c>
      <c r="G51" s="151">
        <f t="shared" si="29"/>
        <v>0.25</v>
      </c>
      <c r="H51" s="151">
        <f t="shared" si="29"/>
        <v>0.25</v>
      </c>
      <c r="I51" s="151">
        <f t="shared" si="29"/>
        <v>0.25</v>
      </c>
      <c r="J51" s="151">
        <f t="shared" si="29"/>
        <v>0.25</v>
      </c>
      <c r="K51" s="152">
        <f t="shared" si="29"/>
        <v>1</v>
      </c>
      <c r="L51" s="152">
        <f t="shared" si="29"/>
        <v>1</v>
      </c>
      <c r="M51" s="152">
        <f t="shared" si="29"/>
        <v>0.75</v>
      </c>
      <c r="N51" s="152">
        <f t="shared" si="29"/>
        <v>0.75</v>
      </c>
      <c r="O51" s="152">
        <f t="shared" si="29"/>
        <v>0.5</v>
      </c>
      <c r="P51" s="152">
        <f t="shared" si="29"/>
        <v>0.5</v>
      </c>
      <c r="Q51" s="153">
        <f t="shared" si="29"/>
        <v>1</v>
      </c>
      <c r="R51" s="153">
        <f t="shared" si="29"/>
        <v>1</v>
      </c>
      <c r="S51" s="153">
        <f t="shared" si="29"/>
        <v>0.75</v>
      </c>
      <c r="T51" s="153">
        <f t="shared" si="29"/>
        <v>0.75</v>
      </c>
      <c r="U51" s="153">
        <f t="shared" si="29"/>
        <v>0.5</v>
      </c>
      <c r="V51" s="153">
        <f t="shared" si="29"/>
        <v>0.5</v>
      </c>
      <c r="W51" s="154">
        <f t="shared" si="14"/>
        <v>11.25</v>
      </c>
      <c r="X51" s="155">
        <f t="shared" si="15"/>
        <v>6.25</v>
      </c>
      <c r="Y51" s="67">
        <f t="shared" si="16"/>
        <v>10.3125</v>
      </c>
      <c r="Z51" s="156">
        <f t="shared" si="17"/>
        <v>22.8125</v>
      </c>
      <c r="AA51" s="10">
        <f t="shared" si="5"/>
        <v>17.099999999999987</v>
      </c>
      <c r="AB51" s="7">
        <v>9.5</v>
      </c>
      <c r="AC51" s="7"/>
      <c r="AD51" s="7"/>
      <c r="AE51" s="7"/>
      <c r="AF51" s="7"/>
    </row>
    <row r="52" spans="1:32" ht="12.75">
      <c r="A52" s="145">
        <f t="shared" si="10"/>
        <v>5.75</v>
      </c>
      <c r="B52" s="146">
        <f t="shared" si="11"/>
        <v>9.583333333333334</v>
      </c>
      <c r="C52" s="146">
        <f t="shared" si="12"/>
        <v>21.083333333333332</v>
      </c>
      <c r="D52" s="150" t="str">
        <f t="shared" si="8"/>
        <v>studente15</v>
      </c>
      <c r="E52" s="151">
        <f aca="true" t="shared" si="30" ref="E52:V52">IF(E19="","",IF(E$34=$D$69,VLOOKUP(E19,SCELTAV1Q1,E$35),IF(E$34=$D$76,VLOOKUP(E19,GIUDIZIA,E$35),E19*E$85)))</f>
        <v>0.25</v>
      </c>
      <c r="F52" s="151">
        <f t="shared" si="30"/>
        <v>0.25</v>
      </c>
      <c r="G52" s="151">
        <f t="shared" si="30"/>
        <v>0.25</v>
      </c>
      <c r="H52" s="151">
        <f t="shared" si="30"/>
        <v>0.25</v>
      </c>
      <c r="I52" s="151">
        <f t="shared" si="30"/>
        <v>0.25</v>
      </c>
      <c r="J52" s="151">
        <f t="shared" si="30"/>
        <v>0.25</v>
      </c>
      <c r="K52" s="152">
        <f t="shared" si="30"/>
        <v>1</v>
      </c>
      <c r="L52" s="152">
        <f t="shared" si="30"/>
        <v>1</v>
      </c>
      <c r="M52" s="152">
        <f t="shared" si="30"/>
        <v>0.75</v>
      </c>
      <c r="N52" s="152">
        <f t="shared" si="30"/>
        <v>0.75</v>
      </c>
      <c r="O52" s="152">
        <f t="shared" si="30"/>
        <v>0.5</v>
      </c>
      <c r="P52" s="152">
        <f t="shared" si="30"/>
        <v>0.5</v>
      </c>
      <c r="Q52" s="153">
        <f t="shared" si="30"/>
        <v>1</v>
      </c>
      <c r="R52" s="153">
        <f t="shared" si="30"/>
        <v>1</v>
      </c>
      <c r="S52" s="153">
        <f t="shared" si="30"/>
        <v>0.75</v>
      </c>
      <c r="T52" s="153">
        <f t="shared" si="30"/>
        <v>0.75</v>
      </c>
      <c r="U52" s="153">
        <f t="shared" si="30"/>
        <v>0.5</v>
      </c>
      <c r="V52" s="153">
        <f t="shared" si="30"/>
        <v>0.5</v>
      </c>
      <c r="W52" s="154">
        <f t="shared" si="14"/>
        <v>10.5</v>
      </c>
      <c r="X52" s="155">
        <f t="shared" si="15"/>
        <v>5.75</v>
      </c>
      <c r="Y52" s="67">
        <f t="shared" si="16"/>
        <v>9.583333333333334</v>
      </c>
      <c r="Z52" s="156">
        <f t="shared" si="17"/>
        <v>21.083333333333332</v>
      </c>
      <c r="AA52" s="10">
        <f t="shared" si="5"/>
        <v>17.549999999999986</v>
      </c>
      <c r="AB52" s="7">
        <v>9.75</v>
      </c>
      <c r="AC52" s="7"/>
      <c r="AD52" s="7"/>
      <c r="AE52" s="7"/>
      <c r="AF52" s="7"/>
    </row>
    <row r="53" spans="1:32" ht="12.75">
      <c r="A53" s="145">
        <f t="shared" si="10"/>
        <v>5.75</v>
      </c>
      <c r="B53" s="146">
        <f t="shared" si="11"/>
        <v>9.583333333333334</v>
      </c>
      <c r="C53" s="146">
        <f t="shared" si="12"/>
        <v>21.083333333333332</v>
      </c>
      <c r="D53" s="150" t="str">
        <f t="shared" si="8"/>
        <v>studente16</v>
      </c>
      <c r="E53" s="151">
        <f aca="true" t="shared" si="31" ref="E53:V53">IF(E20="","",IF(E$34=$D$69,VLOOKUP(E20,SCELTAV1Q1,E$35),IF(E$34=$D$76,VLOOKUP(E20,GIUDIZIA,E$35),E20*E$85)))</f>
        <v>0.25</v>
      </c>
      <c r="F53" s="151">
        <f t="shared" si="31"/>
        <v>0.25</v>
      </c>
      <c r="G53" s="151">
        <f t="shared" si="31"/>
        <v>0.25</v>
      </c>
      <c r="H53" s="151">
        <f t="shared" si="31"/>
        <v>0.25</v>
      </c>
      <c r="I53" s="151">
        <f t="shared" si="31"/>
        <v>0.25</v>
      </c>
      <c r="J53" s="151">
        <f t="shared" si="31"/>
        <v>0.25</v>
      </c>
      <c r="K53" s="152">
        <f t="shared" si="31"/>
        <v>1</v>
      </c>
      <c r="L53" s="152">
        <f t="shared" si="31"/>
        <v>1</v>
      </c>
      <c r="M53" s="152">
        <f t="shared" si="31"/>
        <v>0.75</v>
      </c>
      <c r="N53" s="152">
        <f t="shared" si="31"/>
        <v>0.75</v>
      </c>
      <c r="O53" s="152">
        <f t="shared" si="31"/>
        <v>0.5</v>
      </c>
      <c r="P53" s="152">
        <f t="shared" si="31"/>
        <v>0.5</v>
      </c>
      <c r="Q53" s="153">
        <f t="shared" si="31"/>
        <v>1</v>
      </c>
      <c r="R53" s="153">
        <f t="shared" si="31"/>
        <v>1</v>
      </c>
      <c r="S53" s="153">
        <f t="shared" si="31"/>
        <v>0.75</v>
      </c>
      <c r="T53" s="153">
        <f t="shared" si="31"/>
        <v>0.75</v>
      </c>
      <c r="U53" s="153">
        <f t="shared" si="31"/>
        <v>0.5</v>
      </c>
      <c r="V53" s="153">
        <f t="shared" si="31"/>
        <v>0.5</v>
      </c>
      <c r="W53" s="154">
        <f t="shared" si="14"/>
        <v>10.5</v>
      </c>
      <c r="X53" s="155">
        <f t="shared" si="15"/>
        <v>5.75</v>
      </c>
      <c r="Y53" s="67">
        <f t="shared" si="16"/>
        <v>9.583333333333334</v>
      </c>
      <c r="Z53" s="156">
        <f t="shared" si="17"/>
        <v>21.083333333333332</v>
      </c>
      <c r="AA53" s="10">
        <f t="shared" si="5"/>
        <v>17.999999999999986</v>
      </c>
      <c r="AB53" s="7">
        <v>10</v>
      </c>
      <c r="AC53" s="7"/>
      <c r="AD53" s="7"/>
      <c r="AE53" s="7"/>
      <c r="AF53" s="7"/>
    </row>
    <row r="54" spans="1:32" s="3" customFormat="1" ht="12.75">
      <c r="A54" s="145">
        <f t="shared" si="10"/>
        <v>5.75</v>
      </c>
      <c r="B54" s="146">
        <f t="shared" si="11"/>
        <v>9.583333333333334</v>
      </c>
      <c r="C54" s="146">
        <f t="shared" si="12"/>
        <v>21.083333333333332</v>
      </c>
      <c r="D54" s="150" t="str">
        <f t="shared" si="8"/>
        <v>studente17</v>
      </c>
      <c r="E54" s="151">
        <f aca="true" t="shared" si="32" ref="E54:V54">IF(E21="","",IF(E$34=$D$69,VLOOKUP(E21,SCELTAV1Q1,E$35),IF(E$34=$D$76,VLOOKUP(E21,GIUDIZIA,E$35),E21*E$85)))</f>
        <v>0.25</v>
      </c>
      <c r="F54" s="151">
        <f t="shared" si="32"/>
        <v>0.25</v>
      </c>
      <c r="G54" s="151">
        <f t="shared" si="32"/>
        <v>0.25</v>
      </c>
      <c r="H54" s="151">
        <f t="shared" si="32"/>
        <v>0.25</v>
      </c>
      <c r="I54" s="151">
        <f t="shared" si="32"/>
        <v>0.25</v>
      </c>
      <c r="J54" s="151">
        <f t="shared" si="32"/>
        <v>0.25</v>
      </c>
      <c r="K54" s="152">
        <f t="shared" si="32"/>
        <v>1</v>
      </c>
      <c r="L54" s="152">
        <f t="shared" si="32"/>
        <v>1</v>
      </c>
      <c r="M54" s="152">
        <f t="shared" si="32"/>
        <v>0.75</v>
      </c>
      <c r="N54" s="152">
        <f t="shared" si="32"/>
        <v>0.75</v>
      </c>
      <c r="O54" s="152">
        <f t="shared" si="32"/>
        <v>0.5</v>
      </c>
      <c r="P54" s="152">
        <f t="shared" si="32"/>
        <v>0.5</v>
      </c>
      <c r="Q54" s="153">
        <f t="shared" si="32"/>
        <v>1</v>
      </c>
      <c r="R54" s="153">
        <f t="shared" si="32"/>
        <v>1</v>
      </c>
      <c r="S54" s="153">
        <f t="shared" si="32"/>
        <v>0.75</v>
      </c>
      <c r="T54" s="153">
        <f t="shared" si="32"/>
        <v>0.75</v>
      </c>
      <c r="U54" s="153">
        <f t="shared" si="32"/>
        <v>0.5</v>
      </c>
      <c r="V54" s="153">
        <f t="shared" si="32"/>
        <v>0.5</v>
      </c>
      <c r="W54" s="154">
        <f t="shared" si="14"/>
        <v>10.5</v>
      </c>
      <c r="X54" s="155">
        <f t="shared" si="15"/>
        <v>5.75</v>
      </c>
      <c r="Y54" s="67">
        <f t="shared" si="16"/>
        <v>9.583333333333334</v>
      </c>
      <c r="Z54" s="156">
        <f t="shared" si="17"/>
        <v>21.083333333333332</v>
      </c>
      <c r="AA54" s="7"/>
      <c r="AB54" s="7"/>
      <c r="AC54" s="1"/>
      <c r="AD54" s="1"/>
      <c r="AE54" s="1"/>
      <c r="AF54" s="1"/>
    </row>
    <row r="55" spans="1:32" s="3" customFormat="1" ht="12.75">
      <c r="A55" s="145">
        <f t="shared" si="10"/>
        <v>5.75</v>
      </c>
      <c r="B55" s="146">
        <f t="shared" si="11"/>
        <v>9.583333333333334</v>
      </c>
      <c r="C55" s="146">
        <f t="shared" si="12"/>
        <v>21.083333333333332</v>
      </c>
      <c r="D55" s="150" t="str">
        <f t="shared" si="8"/>
        <v>studente18</v>
      </c>
      <c r="E55" s="151">
        <f aca="true" t="shared" si="33" ref="E55:V55">IF(E22="","",IF(E$34=$D$69,VLOOKUP(E22,SCELTAV1Q1,E$35),IF(E$34=$D$76,VLOOKUP(E22,GIUDIZIA,E$35),E22*E$85)))</f>
        <v>0.25</v>
      </c>
      <c r="F55" s="151">
        <f t="shared" si="33"/>
        <v>0.25</v>
      </c>
      <c r="G55" s="151">
        <f t="shared" si="33"/>
        <v>0.25</v>
      </c>
      <c r="H55" s="151">
        <f t="shared" si="33"/>
        <v>0.25</v>
      </c>
      <c r="I55" s="151">
        <f t="shared" si="33"/>
        <v>0.25</v>
      </c>
      <c r="J55" s="151">
        <f t="shared" si="33"/>
        <v>0.25</v>
      </c>
      <c r="K55" s="152">
        <f t="shared" si="33"/>
        <v>1</v>
      </c>
      <c r="L55" s="152">
        <f t="shared" si="33"/>
        <v>1</v>
      </c>
      <c r="M55" s="152">
        <f t="shared" si="33"/>
        <v>0.75</v>
      </c>
      <c r="N55" s="152">
        <f t="shared" si="33"/>
        <v>0.75</v>
      </c>
      <c r="O55" s="152">
        <f t="shared" si="33"/>
        <v>0.5</v>
      </c>
      <c r="P55" s="152">
        <f t="shared" si="33"/>
        <v>0.5</v>
      </c>
      <c r="Q55" s="153">
        <f t="shared" si="33"/>
        <v>1</v>
      </c>
      <c r="R55" s="153">
        <f t="shared" si="33"/>
        <v>1</v>
      </c>
      <c r="S55" s="153">
        <f t="shared" si="33"/>
        <v>0.75</v>
      </c>
      <c r="T55" s="153">
        <f t="shared" si="33"/>
        <v>0.75</v>
      </c>
      <c r="U55" s="153">
        <f t="shared" si="33"/>
        <v>0.5</v>
      </c>
      <c r="V55" s="153">
        <f t="shared" si="33"/>
        <v>0.5</v>
      </c>
      <c r="W55" s="154">
        <f t="shared" si="14"/>
        <v>10.5</v>
      </c>
      <c r="X55" s="155">
        <f t="shared" si="15"/>
        <v>5.75</v>
      </c>
      <c r="Y55" s="67">
        <f t="shared" si="16"/>
        <v>9.583333333333334</v>
      </c>
      <c r="Z55" s="156">
        <f t="shared" si="17"/>
        <v>21.083333333333332</v>
      </c>
      <c r="AA55" s="7"/>
      <c r="AB55" s="7"/>
      <c r="AC55" s="1"/>
      <c r="AD55" s="1"/>
      <c r="AE55" s="1"/>
      <c r="AF55" s="1"/>
    </row>
    <row r="56" spans="1:32" s="3" customFormat="1" ht="12.75">
      <c r="A56" s="145">
        <f t="shared" si="10"/>
        <v>5.75</v>
      </c>
      <c r="B56" s="146">
        <f t="shared" si="11"/>
        <v>9.583333333333334</v>
      </c>
      <c r="C56" s="146">
        <f t="shared" si="12"/>
        <v>21.083333333333332</v>
      </c>
      <c r="D56" s="150" t="str">
        <f t="shared" si="8"/>
        <v>studente19</v>
      </c>
      <c r="E56" s="151">
        <f aca="true" t="shared" si="34" ref="E56:V56">IF(E23="","",IF(E$34=$D$69,VLOOKUP(E23,SCELTAV1Q1,E$35),IF(E$34=$D$76,VLOOKUP(E23,GIUDIZIA,E$35),E23*E$85)))</f>
        <v>0.25</v>
      </c>
      <c r="F56" s="151">
        <f t="shared" si="34"/>
        <v>0.25</v>
      </c>
      <c r="G56" s="151">
        <f t="shared" si="34"/>
        <v>0.25</v>
      </c>
      <c r="H56" s="151">
        <f t="shared" si="34"/>
        <v>0.25</v>
      </c>
      <c r="I56" s="151">
        <f t="shared" si="34"/>
        <v>0.25</v>
      </c>
      <c r="J56" s="151">
        <f t="shared" si="34"/>
        <v>0.25</v>
      </c>
      <c r="K56" s="152">
        <f t="shared" si="34"/>
        <v>1</v>
      </c>
      <c r="L56" s="152">
        <f t="shared" si="34"/>
        <v>1</v>
      </c>
      <c r="M56" s="152">
        <f t="shared" si="34"/>
        <v>0.75</v>
      </c>
      <c r="N56" s="152">
        <f t="shared" si="34"/>
        <v>0.75</v>
      </c>
      <c r="O56" s="152">
        <f t="shared" si="34"/>
        <v>0.5</v>
      </c>
      <c r="P56" s="152">
        <f t="shared" si="34"/>
        <v>0.5</v>
      </c>
      <c r="Q56" s="153">
        <f t="shared" si="34"/>
        <v>1</v>
      </c>
      <c r="R56" s="153">
        <f t="shared" si="34"/>
        <v>1</v>
      </c>
      <c r="S56" s="153">
        <f t="shared" si="34"/>
        <v>0.75</v>
      </c>
      <c r="T56" s="153">
        <f t="shared" si="34"/>
        <v>0.75</v>
      </c>
      <c r="U56" s="153">
        <f t="shared" si="34"/>
        <v>0.5</v>
      </c>
      <c r="V56" s="153">
        <f t="shared" si="34"/>
        <v>0.5</v>
      </c>
      <c r="W56" s="154">
        <f t="shared" si="14"/>
        <v>10.5</v>
      </c>
      <c r="X56" s="155">
        <f t="shared" si="15"/>
        <v>5.75</v>
      </c>
      <c r="Y56" s="67">
        <f t="shared" si="16"/>
        <v>9.583333333333334</v>
      </c>
      <c r="Z56" s="156">
        <f t="shared" si="17"/>
        <v>21.083333333333332</v>
      </c>
      <c r="AA56" s="7"/>
      <c r="AB56" s="7"/>
      <c r="AC56" s="1"/>
      <c r="AD56" s="1"/>
      <c r="AE56" s="1"/>
      <c r="AF56" s="1"/>
    </row>
    <row r="57" spans="1:32" s="3" customFormat="1" ht="12.75">
      <c r="A57" s="145">
        <f t="shared" si="10"/>
        <v>5.75</v>
      </c>
      <c r="B57" s="146">
        <f t="shared" si="11"/>
        <v>9.583333333333334</v>
      </c>
      <c r="C57" s="146">
        <f t="shared" si="12"/>
        <v>21.083333333333332</v>
      </c>
      <c r="D57" s="150" t="str">
        <f t="shared" si="8"/>
        <v>studente20</v>
      </c>
      <c r="E57" s="151">
        <f aca="true" t="shared" si="35" ref="E57:V57">IF(E24="","",IF(E$34=$D$69,VLOOKUP(E24,SCELTAV1Q1,E$35),IF(E$34=$D$76,VLOOKUP(E24,GIUDIZIA,E$35),E24*E$85)))</f>
        <v>0.25</v>
      </c>
      <c r="F57" s="151">
        <f t="shared" si="35"/>
        <v>0.25</v>
      </c>
      <c r="G57" s="151">
        <f t="shared" si="35"/>
        <v>0.25</v>
      </c>
      <c r="H57" s="151">
        <f t="shared" si="35"/>
        <v>0.25</v>
      </c>
      <c r="I57" s="151">
        <f t="shared" si="35"/>
        <v>0.25</v>
      </c>
      <c r="J57" s="151">
        <f t="shared" si="35"/>
        <v>0.25</v>
      </c>
      <c r="K57" s="152">
        <f t="shared" si="35"/>
        <v>1</v>
      </c>
      <c r="L57" s="152">
        <f t="shared" si="35"/>
        <v>1</v>
      </c>
      <c r="M57" s="152">
        <f t="shared" si="35"/>
        <v>0.75</v>
      </c>
      <c r="N57" s="152">
        <f t="shared" si="35"/>
        <v>0.75</v>
      </c>
      <c r="O57" s="152">
        <f t="shared" si="35"/>
        <v>0.5</v>
      </c>
      <c r="P57" s="152">
        <f t="shared" si="35"/>
        <v>0.5</v>
      </c>
      <c r="Q57" s="153">
        <f t="shared" si="35"/>
        <v>1</v>
      </c>
      <c r="R57" s="153">
        <f t="shared" si="35"/>
        <v>1</v>
      </c>
      <c r="S57" s="153">
        <f t="shared" si="35"/>
        <v>0.75</v>
      </c>
      <c r="T57" s="153">
        <f t="shared" si="35"/>
        <v>0.75</v>
      </c>
      <c r="U57" s="153">
        <f t="shared" si="35"/>
        <v>0.5</v>
      </c>
      <c r="V57" s="153">
        <f t="shared" si="35"/>
        <v>0.5</v>
      </c>
      <c r="W57" s="154">
        <f t="shared" si="14"/>
        <v>10.5</v>
      </c>
      <c r="X57" s="155">
        <f t="shared" si="15"/>
        <v>5.75</v>
      </c>
      <c r="Y57" s="67">
        <f t="shared" si="16"/>
        <v>9.583333333333334</v>
      </c>
      <c r="Z57" s="156">
        <f t="shared" si="17"/>
        <v>21.083333333333332</v>
      </c>
      <c r="AA57" s="7"/>
      <c r="AB57" s="7"/>
      <c r="AC57" s="1"/>
      <c r="AD57" s="1"/>
      <c r="AE57" s="1"/>
      <c r="AF57" s="1"/>
    </row>
    <row r="58" spans="1:32" s="3" customFormat="1" ht="12.75">
      <c r="A58" s="145">
        <f t="shared" si="10"/>
        <v>5.75</v>
      </c>
      <c r="B58" s="146">
        <f t="shared" si="11"/>
        <v>9.583333333333334</v>
      </c>
      <c r="C58" s="146">
        <f t="shared" si="12"/>
        <v>21.083333333333332</v>
      </c>
      <c r="D58" s="150" t="str">
        <f t="shared" si="8"/>
        <v>studente21</v>
      </c>
      <c r="E58" s="151">
        <f aca="true" t="shared" si="36" ref="E58:V58">IF(E25="","",IF(E$34=$D$69,VLOOKUP(E25,SCELTAV1Q1,E$35),IF(E$34=$D$76,VLOOKUP(E25,GIUDIZIA,E$35),E25*E$85)))</f>
        <v>0.25</v>
      </c>
      <c r="F58" s="151">
        <f t="shared" si="36"/>
        <v>0.25</v>
      </c>
      <c r="G58" s="151">
        <f t="shared" si="36"/>
        <v>0.25</v>
      </c>
      <c r="H58" s="151">
        <f t="shared" si="36"/>
        <v>0.25</v>
      </c>
      <c r="I58" s="151">
        <f t="shared" si="36"/>
        <v>0.25</v>
      </c>
      <c r="J58" s="151">
        <f t="shared" si="36"/>
        <v>0.25</v>
      </c>
      <c r="K58" s="152">
        <f t="shared" si="36"/>
        <v>1</v>
      </c>
      <c r="L58" s="152">
        <f t="shared" si="36"/>
        <v>1</v>
      </c>
      <c r="M58" s="152">
        <f t="shared" si="36"/>
        <v>0.75</v>
      </c>
      <c r="N58" s="152">
        <f t="shared" si="36"/>
        <v>0.75</v>
      </c>
      <c r="O58" s="152">
        <f t="shared" si="36"/>
        <v>0.5</v>
      </c>
      <c r="P58" s="152">
        <f t="shared" si="36"/>
        <v>0.5</v>
      </c>
      <c r="Q58" s="153">
        <f t="shared" si="36"/>
        <v>1</v>
      </c>
      <c r="R58" s="153">
        <f t="shared" si="36"/>
        <v>1</v>
      </c>
      <c r="S58" s="153">
        <f t="shared" si="36"/>
        <v>0.75</v>
      </c>
      <c r="T58" s="153">
        <f t="shared" si="36"/>
        <v>0.75</v>
      </c>
      <c r="U58" s="153">
        <f t="shared" si="36"/>
        <v>0.5</v>
      </c>
      <c r="V58" s="153">
        <f t="shared" si="36"/>
        <v>0.5</v>
      </c>
      <c r="W58" s="154">
        <f t="shared" si="14"/>
        <v>10.5</v>
      </c>
      <c r="X58" s="155">
        <f t="shared" si="15"/>
        <v>5.75</v>
      </c>
      <c r="Y58" s="67">
        <f t="shared" si="16"/>
        <v>9.583333333333334</v>
      </c>
      <c r="Z58" s="156">
        <f t="shared" si="17"/>
        <v>21.083333333333332</v>
      </c>
      <c r="AA58" s="7"/>
      <c r="AB58" s="7"/>
      <c r="AC58" s="1"/>
      <c r="AD58" s="1"/>
      <c r="AE58" s="1"/>
      <c r="AF58" s="1"/>
    </row>
    <row r="59" spans="1:32" s="3" customFormat="1" ht="12.75">
      <c r="A59" s="145">
        <f t="shared" si="10"/>
        <v>5.75</v>
      </c>
      <c r="B59" s="146">
        <f t="shared" si="11"/>
        <v>9.583333333333334</v>
      </c>
      <c r="C59" s="146">
        <f t="shared" si="12"/>
        <v>21.083333333333332</v>
      </c>
      <c r="D59" s="150" t="str">
        <f t="shared" si="8"/>
        <v>studente22</v>
      </c>
      <c r="E59" s="151">
        <f aca="true" t="shared" si="37" ref="E59:V59">IF(E26="","",IF(E$34=$D$69,VLOOKUP(E26,SCELTAV1Q1,E$35),IF(E$34=$D$76,VLOOKUP(E26,GIUDIZIA,E$35),E26*E$85)))</f>
        <v>0.25</v>
      </c>
      <c r="F59" s="151">
        <f t="shared" si="37"/>
        <v>0.25</v>
      </c>
      <c r="G59" s="151">
        <f t="shared" si="37"/>
        <v>0.25</v>
      </c>
      <c r="H59" s="151">
        <f t="shared" si="37"/>
        <v>0.25</v>
      </c>
      <c r="I59" s="151">
        <f t="shared" si="37"/>
        <v>0.25</v>
      </c>
      <c r="J59" s="151">
        <f t="shared" si="37"/>
        <v>0.25</v>
      </c>
      <c r="K59" s="152">
        <f t="shared" si="37"/>
        <v>1</v>
      </c>
      <c r="L59" s="152">
        <f t="shared" si="37"/>
        <v>1</v>
      </c>
      <c r="M59" s="152">
        <f t="shared" si="37"/>
        <v>0.75</v>
      </c>
      <c r="N59" s="152">
        <f t="shared" si="37"/>
        <v>0.75</v>
      </c>
      <c r="O59" s="152">
        <f t="shared" si="37"/>
        <v>0.5</v>
      </c>
      <c r="P59" s="152">
        <f t="shared" si="37"/>
        <v>0.5</v>
      </c>
      <c r="Q59" s="153">
        <f t="shared" si="37"/>
        <v>1</v>
      </c>
      <c r="R59" s="153">
        <f t="shared" si="37"/>
        <v>1</v>
      </c>
      <c r="S59" s="153">
        <f t="shared" si="37"/>
        <v>0.75</v>
      </c>
      <c r="T59" s="153">
        <f t="shared" si="37"/>
        <v>0.75</v>
      </c>
      <c r="U59" s="153">
        <f t="shared" si="37"/>
        <v>0.5</v>
      </c>
      <c r="V59" s="153">
        <f t="shared" si="37"/>
        <v>0.5</v>
      </c>
      <c r="W59" s="154">
        <f t="shared" si="14"/>
        <v>10.5</v>
      </c>
      <c r="X59" s="155">
        <f t="shared" si="15"/>
        <v>5.75</v>
      </c>
      <c r="Y59" s="67">
        <f t="shared" si="16"/>
        <v>9.583333333333334</v>
      </c>
      <c r="Z59" s="156">
        <f t="shared" si="17"/>
        <v>21.083333333333332</v>
      </c>
      <c r="AA59" s="7"/>
      <c r="AB59" s="7"/>
      <c r="AC59" s="1"/>
      <c r="AD59" s="1"/>
      <c r="AE59" s="1"/>
      <c r="AF59" s="1"/>
    </row>
    <row r="60" spans="1:32" s="3" customFormat="1" ht="12.75">
      <c r="A60" s="145">
        <f t="shared" si="10"/>
        <v>5.75</v>
      </c>
      <c r="B60" s="146">
        <f t="shared" si="11"/>
        <v>9.583333333333334</v>
      </c>
      <c r="C60" s="146">
        <f t="shared" si="12"/>
        <v>21.083333333333332</v>
      </c>
      <c r="D60" s="150" t="str">
        <f t="shared" si="8"/>
        <v>studente23</v>
      </c>
      <c r="E60" s="151">
        <f aca="true" t="shared" si="38" ref="E60:V60">IF(E27="","",IF(E$34=$D$69,VLOOKUP(E27,SCELTAV1Q1,E$35),IF(E$34=$D$76,VLOOKUP(E27,GIUDIZIA,E$35),E27*E$85)))</f>
        <v>0.25</v>
      </c>
      <c r="F60" s="151">
        <f t="shared" si="38"/>
        <v>0.25</v>
      </c>
      <c r="G60" s="151">
        <f t="shared" si="38"/>
        <v>0.25</v>
      </c>
      <c r="H60" s="151">
        <f t="shared" si="38"/>
        <v>0.25</v>
      </c>
      <c r="I60" s="151">
        <f t="shared" si="38"/>
        <v>0.25</v>
      </c>
      <c r="J60" s="151">
        <f t="shared" si="38"/>
        <v>0.25</v>
      </c>
      <c r="K60" s="152">
        <f t="shared" si="38"/>
        <v>1</v>
      </c>
      <c r="L60" s="152">
        <f t="shared" si="38"/>
        <v>1</v>
      </c>
      <c r="M60" s="152">
        <f t="shared" si="38"/>
        <v>0.75</v>
      </c>
      <c r="N60" s="152">
        <f t="shared" si="38"/>
        <v>0.75</v>
      </c>
      <c r="O60" s="152">
        <f t="shared" si="38"/>
        <v>0.5</v>
      </c>
      <c r="P60" s="152">
        <f t="shared" si="38"/>
        <v>0.5</v>
      </c>
      <c r="Q60" s="153">
        <f t="shared" si="38"/>
        <v>1</v>
      </c>
      <c r="R60" s="153">
        <f t="shared" si="38"/>
        <v>1</v>
      </c>
      <c r="S60" s="153">
        <f t="shared" si="38"/>
        <v>0.75</v>
      </c>
      <c r="T60" s="153">
        <f t="shared" si="38"/>
        <v>0.75</v>
      </c>
      <c r="U60" s="153">
        <f t="shared" si="38"/>
        <v>0.5</v>
      </c>
      <c r="V60" s="153">
        <f t="shared" si="38"/>
        <v>0.5</v>
      </c>
      <c r="W60" s="154">
        <f t="shared" si="14"/>
        <v>10.5</v>
      </c>
      <c r="X60" s="155">
        <f t="shared" si="15"/>
        <v>5.75</v>
      </c>
      <c r="Y60" s="67">
        <f t="shared" si="16"/>
        <v>9.583333333333334</v>
      </c>
      <c r="Z60" s="156">
        <f t="shared" si="17"/>
        <v>21.083333333333332</v>
      </c>
      <c r="AA60" s="7"/>
      <c r="AB60" s="7"/>
      <c r="AC60" s="1"/>
      <c r="AD60" s="1"/>
      <c r="AE60" s="1"/>
      <c r="AF60" s="1"/>
    </row>
    <row r="61" spans="1:32" s="3" customFormat="1" ht="12.75">
      <c r="A61" s="145">
        <f t="shared" si="10"/>
        <v>5.75</v>
      </c>
      <c r="B61" s="146">
        <f t="shared" si="11"/>
        <v>9.583333333333334</v>
      </c>
      <c r="C61" s="146">
        <f t="shared" si="12"/>
        <v>21.083333333333332</v>
      </c>
      <c r="D61" s="150" t="str">
        <f t="shared" si="8"/>
        <v>studente24</v>
      </c>
      <c r="E61" s="151">
        <f aca="true" t="shared" si="39" ref="E61:V61">IF(E28="","",IF(E$34=$D$69,VLOOKUP(E28,SCELTAV1Q1,E$35),IF(E$34=$D$76,VLOOKUP(E28,GIUDIZIA,E$35),E28*E$85)))</f>
        <v>0.25</v>
      </c>
      <c r="F61" s="151">
        <f t="shared" si="39"/>
        <v>0.25</v>
      </c>
      <c r="G61" s="151">
        <f t="shared" si="39"/>
        <v>0.25</v>
      </c>
      <c r="H61" s="151">
        <f t="shared" si="39"/>
        <v>0.25</v>
      </c>
      <c r="I61" s="151">
        <f t="shared" si="39"/>
        <v>0.25</v>
      </c>
      <c r="J61" s="151">
        <f t="shared" si="39"/>
        <v>0.25</v>
      </c>
      <c r="K61" s="152">
        <f t="shared" si="39"/>
        <v>1</v>
      </c>
      <c r="L61" s="152">
        <f t="shared" si="39"/>
        <v>1</v>
      </c>
      <c r="M61" s="152">
        <f t="shared" si="39"/>
        <v>0.75</v>
      </c>
      <c r="N61" s="152">
        <f t="shared" si="39"/>
        <v>0.75</v>
      </c>
      <c r="O61" s="152">
        <f t="shared" si="39"/>
        <v>0.5</v>
      </c>
      <c r="P61" s="152">
        <f t="shared" si="39"/>
        <v>0.5</v>
      </c>
      <c r="Q61" s="153">
        <f t="shared" si="39"/>
        <v>1</v>
      </c>
      <c r="R61" s="153">
        <f t="shared" si="39"/>
        <v>1</v>
      </c>
      <c r="S61" s="153">
        <f t="shared" si="39"/>
        <v>0.75</v>
      </c>
      <c r="T61" s="153">
        <f t="shared" si="39"/>
        <v>0.75</v>
      </c>
      <c r="U61" s="153">
        <f t="shared" si="39"/>
        <v>0.5</v>
      </c>
      <c r="V61" s="153">
        <f t="shared" si="39"/>
        <v>0.5</v>
      </c>
      <c r="W61" s="154">
        <f t="shared" si="14"/>
        <v>10.5</v>
      </c>
      <c r="X61" s="155">
        <f t="shared" si="15"/>
        <v>5.75</v>
      </c>
      <c r="Y61" s="67">
        <f t="shared" si="16"/>
        <v>9.583333333333334</v>
      </c>
      <c r="Z61" s="156">
        <f t="shared" si="17"/>
        <v>21.083333333333332</v>
      </c>
      <c r="AA61" s="7"/>
      <c r="AB61" s="7"/>
      <c r="AC61" s="1"/>
      <c r="AD61" s="1"/>
      <c r="AE61" s="1"/>
      <c r="AF61" s="1"/>
    </row>
    <row r="62" spans="1:32" ht="12.75">
      <c r="A62" s="145">
        <f t="shared" si="10"/>
        <v>5.75</v>
      </c>
      <c r="B62" s="146">
        <f t="shared" si="11"/>
        <v>9.583333333333334</v>
      </c>
      <c r="C62" s="146">
        <f t="shared" si="12"/>
        <v>21.083333333333332</v>
      </c>
      <c r="D62" s="150" t="str">
        <f t="shared" si="8"/>
        <v>studente25</v>
      </c>
      <c r="E62" s="151">
        <f aca="true" t="shared" si="40" ref="E62:V62">IF(E29="","",IF(E$34=$D$69,VLOOKUP(E29,SCELTAV1Q1,E$35),IF(E$34=$D$76,VLOOKUP(E29,GIUDIZIA,E$35),E29*E$85)))</f>
        <v>0.25</v>
      </c>
      <c r="F62" s="151">
        <f t="shared" si="40"/>
        <v>0.25</v>
      </c>
      <c r="G62" s="151">
        <f t="shared" si="40"/>
        <v>0.25</v>
      </c>
      <c r="H62" s="151">
        <f t="shared" si="40"/>
        <v>0.25</v>
      </c>
      <c r="I62" s="151">
        <f t="shared" si="40"/>
        <v>0.25</v>
      </c>
      <c r="J62" s="151">
        <f t="shared" si="40"/>
        <v>0.25</v>
      </c>
      <c r="K62" s="152">
        <f t="shared" si="40"/>
        <v>1</v>
      </c>
      <c r="L62" s="152">
        <f t="shared" si="40"/>
        <v>1</v>
      </c>
      <c r="M62" s="152">
        <f t="shared" si="40"/>
        <v>0.75</v>
      </c>
      <c r="N62" s="152">
        <f t="shared" si="40"/>
        <v>0.75</v>
      </c>
      <c r="O62" s="152">
        <f t="shared" si="40"/>
        <v>0.5</v>
      </c>
      <c r="P62" s="152">
        <f t="shared" si="40"/>
        <v>0.5</v>
      </c>
      <c r="Q62" s="153">
        <f t="shared" si="40"/>
        <v>1</v>
      </c>
      <c r="R62" s="153">
        <f t="shared" si="40"/>
        <v>1</v>
      </c>
      <c r="S62" s="153">
        <f t="shared" si="40"/>
        <v>0.75</v>
      </c>
      <c r="T62" s="153">
        <f t="shared" si="40"/>
        <v>0.75</v>
      </c>
      <c r="U62" s="153">
        <f t="shared" si="40"/>
        <v>0.5</v>
      </c>
      <c r="V62" s="153">
        <f t="shared" si="40"/>
        <v>0.5</v>
      </c>
      <c r="W62" s="154">
        <f t="shared" si="14"/>
        <v>10.5</v>
      </c>
      <c r="X62" s="155">
        <f t="shared" si="15"/>
        <v>5.75</v>
      </c>
      <c r="Y62" s="67">
        <f t="shared" si="16"/>
        <v>9.583333333333334</v>
      </c>
      <c r="Z62" s="156">
        <f t="shared" si="17"/>
        <v>21.083333333333332</v>
      </c>
      <c r="AA62" s="7"/>
      <c r="AB62" s="7"/>
      <c r="AC62" s="7"/>
      <c r="AD62" s="7"/>
      <c r="AE62" s="7"/>
      <c r="AF62" s="7"/>
    </row>
    <row r="63" spans="1:32" ht="12.75">
      <c r="A63" s="145">
        <f t="shared" si="10"/>
        <v>5.75</v>
      </c>
      <c r="B63" s="146">
        <f t="shared" si="11"/>
        <v>9.583333333333334</v>
      </c>
      <c r="C63" s="146">
        <f t="shared" si="12"/>
        <v>21.083333333333332</v>
      </c>
      <c r="D63" s="150" t="str">
        <f t="shared" si="8"/>
        <v>studente26</v>
      </c>
      <c r="E63" s="151">
        <f aca="true" t="shared" si="41" ref="E63:R63">IF(E30="","",IF(E$34=$D$69,VLOOKUP(E30,SCELTAV1Q1,E$35),IF(E$34=$D$76,VLOOKUP(E30,GIUDIZIA,E$35),E30*E$85)))</f>
        <v>0.25</v>
      </c>
      <c r="F63" s="151">
        <f t="shared" si="41"/>
        <v>0.25</v>
      </c>
      <c r="G63" s="151">
        <f t="shared" si="41"/>
        <v>0.25</v>
      </c>
      <c r="H63" s="151">
        <f t="shared" si="41"/>
        <v>0.25</v>
      </c>
      <c r="I63" s="151">
        <f t="shared" si="41"/>
        <v>0.25</v>
      </c>
      <c r="J63" s="151">
        <f t="shared" si="41"/>
        <v>0.25</v>
      </c>
      <c r="K63" s="152">
        <f t="shared" si="41"/>
        <v>1</v>
      </c>
      <c r="L63" s="152">
        <f t="shared" si="41"/>
        <v>1</v>
      </c>
      <c r="M63" s="152">
        <f t="shared" si="41"/>
        <v>0.75</v>
      </c>
      <c r="N63" s="152">
        <f t="shared" si="41"/>
        <v>0.75</v>
      </c>
      <c r="O63" s="152">
        <f t="shared" si="41"/>
        <v>0.5</v>
      </c>
      <c r="P63" s="152">
        <f t="shared" si="41"/>
        <v>0.5</v>
      </c>
      <c r="Q63" s="153">
        <f t="shared" si="41"/>
        <v>1</v>
      </c>
      <c r="R63" s="153">
        <f t="shared" si="41"/>
        <v>1</v>
      </c>
      <c r="S63" s="153">
        <f aca="true" t="shared" si="42" ref="S63:V64">IF(S30="","",IF(S$34=$D$69,VLOOKUP(S30,SCELTAV1Q1,S$35),IF(S$34=$D$76,VLOOKUP(S30,GIUDIZIA,S$35),S30*S$85)))</f>
        <v>0.75</v>
      </c>
      <c r="T63" s="153">
        <f t="shared" si="42"/>
        <v>0.75</v>
      </c>
      <c r="U63" s="153">
        <f t="shared" si="42"/>
        <v>0.5</v>
      </c>
      <c r="V63" s="153">
        <f t="shared" si="42"/>
        <v>0.5</v>
      </c>
      <c r="W63" s="154">
        <f t="shared" si="14"/>
        <v>10.5</v>
      </c>
      <c r="X63" s="155">
        <f t="shared" si="15"/>
        <v>5.75</v>
      </c>
      <c r="Y63" s="67">
        <f t="shared" si="16"/>
        <v>9.583333333333334</v>
      </c>
      <c r="Z63" s="156">
        <f t="shared" si="17"/>
        <v>21.083333333333332</v>
      </c>
      <c r="AA63" s="7"/>
      <c r="AB63" s="7"/>
      <c r="AC63" s="7"/>
      <c r="AD63" s="7"/>
      <c r="AE63" s="7"/>
      <c r="AF63" s="7"/>
    </row>
    <row r="64" spans="1:32" ht="13.5" thickBot="1">
      <c r="A64" s="157">
        <f t="shared" si="10"/>
        <v>10</v>
      </c>
      <c r="B64" s="158">
        <f t="shared" si="11"/>
        <v>15</v>
      </c>
      <c r="C64" s="158">
        <f t="shared" si="12"/>
        <v>35</v>
      </c>
      <c r="D64" s="159" t="str">
        <f t="shared" si="8"/>
        <v>studente27</v>
      </c>
      <c r="E64" s="160">
        <f aca="true" t="shared" si="43" ref="E64:R64">IF(E31="","",IF(E$34=$D$69,VLOOKUP(E31,SCELTAV1Q1,E$35),IF(E$34=$D$76,VLOOKUP(E31,GIUDIZIA,E$35),E31*E$85)))</f>
        <v>1</v>
      </c>
      <c r="F64" s="160">
        <f t="shared" si="43"/>
        <v>1</v>
      </c>
      <c r="G64" s="160">
        <f t="shared" si="43"/>
        <v>1</v>
      </c>
      <c r="H64" s="160">
        <f t="shared" si="43"/>
        <v>1</v>
      </c>
      <c r="I64" s="160">
        <f t="shared" si="43"/>
        <v>1</v>
      </c>
      <c r="J64" s="160">
        <f t="shared" si="43"/>
        <v>1</v>
      </c>
      <c r="K64" s="161">
        <f t="shared" si="43"/>
        <v>1</v>
      </c>
      <c r="L64" s="161">
        <f t="shared" si="43"/>
        <v>1</v>
      </c>
      <c r="M64" s="161">
        <f t="shared" si="43"/>
        <v>1</v>
      </c>
      <c r="N64" s="161">
        <f t="shared" si="43"/>
        <v>1</v>
      </c>
      <c r="O64" s="161">
        <f t="shared" si="43"/>
        <v>1</v>
      </c>
      <c r="P64" s="161">
        <f t="shared" si="43"/>
        <v>1</v>
      </c>
      <c r="Q64" s="162">
        <f t="shared" si="43"/>
        <v>1</v>
      </c>
      <c r="R64" s="162">
        <f t="shared" si="43"/>
        <v>1</v>
      </c>
      <c r="S64" s="162">
        <f t="shared" si="42"/>
        <v>1</v>
      </c>
      <c r="T64" s="162">
        <f t="shared" si="42"/>
        <v>1</v>
      </c>
      <c r="U64" s="162">
        <f t="shared" si="42"/>
        <v>1</v>
      </c>
      <c r="V64" s="162">
        <f t="shared" si="42"/>
        <v>1</v>
      </c>
      <c r="W64" s="163">
        <f t="shared" si="14"/>
        <v>18</v>
      </c>
      <c r="X64" s="164">
        <f t="shared" si="15"/>
        <v>10</v>
      </c>
      <c r="Y64" s="165">
        <f t="shared" si="16"/>
        <v>15</v>
      </c>
      <c r="Z64" s="166">
        <f t="shared" si="17"/>
        <v>35</v>
      </c>
      <c r="AA64" s="7"/>
      <c r="AB64" s="7"/>
      <c r="AC64" s="7"/>
      <c r="AD64" s="7"/>
      <c r="AE64" s="7"/>
      <c r="AF64" s="7"/>
    </row>
    <row r="65" spans="4:32" ht="12.75">
      <c r="D65" s="8">
        <f t="shared" si="8"/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7"/>
      <c r="Z65" s="7"/>
      <c r="AA65" s="7"/>
      <c r="AB65" s="7"/>
      <c r="AC65" s="7"/>
      <c r="AD65" s="7"/>
      <c r="AE65" s="7"/>
      <c r="AF65" s="7"/>
    </row>
    <row r="66" spans="4:32" ht="12.75">
      <c r="D66" s="8" t="s">
        <v>28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7"/>
      <c r="Y66" s="7"/>
      <c r="Z66" s="7"/>
      <c r="AA66" s="7"/>
      <c r="AB66" s="7"/>
      <c r="AC66" s="7"/>
      <c r="AD66" s="7"/>
      <c r="AE66" s="7"/>
      <c r="AF66" s="7"/>
    </row>
    <row r="67" spans="4:32" ht="12.75">
      <c r="D67" s="8">
        <f t="shared" si="8"/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4:32" ht="12.75">
      <c r="D68" s="7"/>
      <c r="E68" s="136" t="str">
        <f>E34</f>
        <v>G</v>
      </c>
      <c r="F68" s="136" t="str">
        <f aca="true" t="shared" si="44" ref="F68:V68">F34</f>
        <v>G</v>
      </c>
      <c r="G68" s="136" t="str">
        <f t="shared" si="44"/>
        <v>G</v>
      </c>
      <c r="H68" s="136" t="str">
        <f t="shared" si="44"/>
        <v>G</v>
      </c>
      <c r="I68" s="136" t="str">
        <f t="shared" si="44"/>
        <v>G</v>
      </c>
      <c r="J68" s="136" t="str">
        <f t="shared" si="44"/>
        <v>G</v>
      </c>
      <c r="K68" s="136" t="str">
        <f t="shared" si="44"/>
        <v>G</v>
      </c>
      <c r="L68" s="136" t="str">
        <f t="shared" si="44"/>
        <v>G</v>
      </c>
      <c r="M68" s="136" t="str">
        <f t="shared" si="44"/>
        <v>G</v>
      </c>
      <c r="N68" s="136" t="str">
        <f t="shared" si="44"/>
        <v>G</v>
      </c>
      <c r="O68" s="136" t="str">
        <f t="shared" si="44"/>
        <v>G</v>
      </c>
      <c r="P68" s="136" t="str">
        <f t="shared" si="44"/>
        <v>G</v>
      </c>
      <c r="Q68" s="136" t="str">
        <f t="shared" si="44"/>
        <v>G</v>
      </c>
      <c r="R68" s="136" t="str">
        <f t="shared" si="44"/>
        <v>G</v>
      </c>
      <c r="S68" s="136" t="str">
        <f t="shared" si="44"/>
        <v>G</v>
      </c>
      <c r="T68" s="136" t="str">
        <f t="shared" si="44"/>
        <v>G</v>
      </c>
      <c r="U68" s="136" t="str">
        <f t="shared" si="44"/>
        <v>G</v>
      </c>
      <c r="V68" s="136" t="str">
        <f t="shared" si="44"/>
        <v>G</v>
      </c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4:32" ht="16.5" thickBot="1">
      <c r="D69" s="127" t="s">
        <v>10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1"/>
      <c r="Y69" s="1"/>
      <c r="Z69" s="1"/>
      <c r="AA69" s="7"/>
      <c r="AB69" s="7"/>
      <c r="AC69" s="7"/>
      <c r="AD69" s="7"/>
      <c r="AE69" s="7"/>
      <c r="AF69" s="7"/>
    </row>
    <row r="70" spans="4:32" ht="14.25" thickBot="1">
      <c r="D70" s="128" t="s">
        <v>30</v>
      </c>
      <c r="E70" s="135">
        <f>E4</f>
        <v>1</v>
      </c>
      <c r="F70" s="135">
        <f aca="true" t="shared" si="45" ref="F70:V70">F4</f>
        <v>2</v>
      </c>
      <c r="G70" s="135">
        <f t="shared" si="45"/>
        <v>3</v>
      </c>
      <c r="H70" s="135">
        <f t="shared" si="45"/>
        <v>4</v>
      </c>
      <c r="I70" s="135">
        <f t="shared" si="45"/>
        <v>5</v>
      </c>
      <c r="J70" s="135">
        <f t="shared" si="45"/>
        <v>6</v>
      </c>
      <c r="K70" s="135">
        <f t="shared" si="45"/>
        <v>7</v>
      </c>
      <c r="L70" s="135">
        <f t="shared" si="45"/>
        <v>8</v>
      </c>
      <c r="M70" s="135">
        <f t="shared" si="45"/>
        <v>9</v>
      </c>
      <c r="N70" s="135">
        <f t="shared" si="45"/>
        <v>10</v>
      </c>
      <c r="O70" s="135">
        <f t="shared" si="45"/>
        <v>11</v>
      </c>
      <c r="P70" s="135">
        <f t="shared" si="45"/>
        <v>12</v>
      </c>
      <c r="Q70" s="135">
        <f t="shared" si="45"/>
        <v>13</v>
      </c>
      <c r="R70" s="135">
        <f t="shared" si="45"/>
        <v>14</v>
      </c>
      <c r="S70" s="135">
        <f t="shared" si="45"/>
        <v>15</v>
      </c>
      <c r="T70" s="135">
        <f t="shared" si="45"/>
        <v>16</v>
      </c>
      <c r="U70" s="135">
        <f t="shared" si="45"/>
        <v>17</v>
      </c>
      <c r="V70" s="135">
        <f t="shared" si="45"/>
        <v>18</v>
      </c>
      <c r="W70" s="17"/>
      <c r="X70" s="1"/>
      <c r="Y70" s="1"/>
      <c r="Z70" s="1"/>
      <c r="AA70" s="7"/>
      <c r="AB70" s="7"/>
      <c r="AC70" s="7"/>
      <c r="AD70" s="7"/>
      <c r="AE70" s="7"/>
      <c r="AF70" s="7"/>
    </row>
    <row r="71" spans="4:26" ht="12.75">
      <c r="D71" s="129" t="s">
        <v>15</v>
      </c>
      <c r="E71" s="130">
        <v>1</v>
      </c>
      <c r="F71" s="130">
        <v>0</v>
      </c>
      <c r="G71" s="130">
        <v>0</v>
      </c>
      <c r="H71" s="130">
        <v>1</v>
      </c>
      <c r="I71" s="130">
        <v>1</v>
      </c>
      <c r="J71" s="130">
        <v>0</v>
      </c>
      <c r="K71" s="130">
        <v>0</v>
      </c>
      <c r="L71" s="130">
        <v>1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7"/>
      <c r="X71" s="7"/>
      <c r="Y71" s="7"/>
      <c r="Z71" s="8" t="s">
        <v>16</v>
      </c>
    </row>
    <row r="72" spans="4:26" ht="12.75">
      <c r="D72" s="129" t="s">
        <v>16</v>
      </c>
      <c r="E72" s="130">
        <v>0</v>
      </c>
      <c r="F72" s="130">
        <v>1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7"/>
      <c r="X72" s="7"/>
      <c r="Y72" s="7"/>
      <c r="Z72" s="8" t="s">
        <v>17</v>
      </c>
    </row>
    <row r="73" spans="4:26" ht="12.75">
      <c r="D73" s="129" t="s">
        <v>18</v>
      </c>
      <c r="E73" s="130">
        <v>0</v>
      </c>
      <c r="F73" s="130">
        <v>0</v>
      </c>
      <c r="G73" s="130">
        <v>1</v>
      </c>
      <c r="H73" s="130">
        <v>0</v>
      </c>
      <c r="I73" s="130">
        <v>0</v>
      </c>
      <c r="J73" s="130">
        <v>0</v>
      </c>
      <c r="K73" s="130">
        <v>1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7"/>
      <c r="X73" s="7"/>
      <c r="Y73" s="7"/>
      <c r="Z73" s="8" t="s">
        <v>10</v>
      </c>
    </row>
    <row r="74" spans="4:26" ht="12.75">
      <c r="D74" s="129" t="s">
        <v>19</v>
      </c>
      <c r="E74" s="130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1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7"/>
      <c r="X74" s="7"/>
      <c r="Y74" s="7"/>
      <c r="Z74" s="8" t="s">
        <v>20</v>
      </c>
    </row>
    <row r="75" spans="4:26" ht="12.75">
      <c r="D75" s="129" t="s">
        <v>21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7"/>
      <c r="X75" s="7"/>
      <c r="Y75" s="7"/>
      <c r="Z75" s="8" t="s">
        <v>21</v>
      </c>
    </row>
    <row r="76" spans="4:26" ht="13.5" thickBot="1">
      <c r="D76" s="131" t="s">
        <v>11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</row>
    <row r="77" spans="4:26" ht="14.25" thickBot="1">
      <c r="D77" s="132" t="s">
        <v>117</v>
      </c>
      <c r="E77" s="135">
        <f>E4</f>
        <v>1</v>
      </c>
      <c r="F77" s="135">
        <f aca="true" t="shared" si="46" ref="F77:V77">F4</f>
        <v>2</v>
      </c>
      <c r="G77" s="135">
        <f t="shared" si="46"/>
        <v>3</v>
      </c>
      <c r="H77" s="135">
        <f t="shared" si="46"/>
        <v>4</v>
      </c>
      <c r="I77" s="135">
        <f t="shared" si="46"/>
        <v>5</v>
      </c>
      <c r="J77" s="135">
        <f t="shared" si="46"/>
        <v>6</v>
      </c>
      <c r="K77" s="135">
        <f t="shared" si="46"/>
        <v>7</v>
      </c>
      <c r="L77" s="135">
        <f t="shared" si="46"/>
        <v>8</v>
      </c>
      <c r="M77" s="135">
        <f t="shared" si="46"/>
        <v>9</v>
      </c>
      <c r="N77" s="135">
        <f t="shared" si="46"/>
        <v>10</v>
      </c>
      <c r="O77" s="135">
        <f t="shared" si="46"/>
        <v>11</v>
      </c>
      <c r="P77" s="135">
        <f t="shared" si="46"/>
        <v>12</v>
      </c>
      <c r="Q77" s="135">
        <f t="shared" si="46"/>
        <v>13</v>
      </c>
      <c r="R77" s="135">
        <f t="shared" si="46"/>
        <v>14</v>
      </c>
      <c r="S77" s="135">
        <f t="shared" si="46"/>
        <v>15</v>
      </c>
      <c r="T77" s="135">
        <f t="shared" si="46"/>
        <v>16</v>
      </c>
      <c r="U77" s="135">
        <f t="shared" si="46"/>
        <v>17</v>
      </c>
      <c r="V77" s="135">
        <f t="shared" si="46"/>
        <v>18</v>
      </c>
      <c r="W77" s="17" t="s">
        <v>120</v>
      </c>
      <c r="X77" s="12"/>
      <c r="Y77" s="12"/>
      <c r="Z77" s="12"/>
    </row>
    <row r="78" spans="4:25" ht="12.75">
      <c r="D78" s="133" t="s">
        <v>16</v>
      </c>
      <c r="E78" s="134">
        <f>GRIGLIA!$D$12</f>
        <v>1</v>
      </c>
      <c r="F78" s="134">
        <f>GRIGLIA!$D$14</f>
        <v>1</v>
      </c>
      <c r="G78" s="134">
        <f>GRIGLIA!$D$16</f>
        <v>1</v>
      </c>
      <c r="H78" s="134">
        <f>GRIGLIA!$D$18</f>
        <v>1</v>
      </c>
      <c r="I78" s="134">
        <f>GRIGLIA!$D$20</f>
        <v>1</v>
      </c>
      <c r="J78" s="134">
        <f>GRIGLIA!$D$22</f>
        <v>1</v>
      </c>
      <c r="K78" s="134">
        <v>1</v>
      </c>
      <c r="L78" s="134">
        <v>1</v>
      </c>
      <c r="M78" s="134">
        <v>1</v>
      </c>
      <c r="N78" s="134">
        <v>1</v>
      </c>
      <c r="O78" s="134">
        <v>1</v>
      </c>
      <c r="P78" s="134">
        <v>1</v>
      </c>
      <c r="Q78" s="134">
        <v>1</v>
      </c>
      <c r="R78" s="134">
        <v>1</v>
      </c>
      <c r="S78" s="134">
        <v>1</v>
      </c>
      <c r="T78" s="134">
        <v>1</v>
      </c>
      <c r="U78" s="134">
        <v>1</v>
      </c>
      <c r="V78" s="134">
        <v>1</v>
      </c>
      <c r="W78" s="24">
        <f>GRIGLIA!D12</f>
        <v>1</v>
      </c>
      <c r="X78" s="16">
        <f>X90</f>
        <v>18</v>
      </c>
      <c r="Y78" s="16"/>
    </row>
    <row r="79" spans="4:23" ht="12.75">
      <c r="D79" s="133" t="s">
        <v>20</v>
      </c>
      <c r="E79" s="134">
        <f>E$78*$W79</f>
        <v>0.25</v>
      </c>
      <c r="F79" s="134">
        <f aca="true" t="shared" si="47" ref="F79:V82">F$78*$W79</f>
        <v>0.25</v>
      </c>
      <c r="G79" s="134">
        <f t="shared" si="47"/>
        <v>0.25</v>
      </c>
      <c r="H79" s="134">
        <f t="shared" si="47"/>
        <v>0.25</v>
      </c>
      <c r="I79" s="134">
        <f t="shared" si="47"/>
        <v>0.25</v>
      </c>
      <c r="J79" s="134">
        <f t="shared" si="47"/>
        <v>0.25</v>
      </c>
      <c r="K79" s="134">
        <f t="shared" si="47"/>
        <v>0.25</v>
      </c>
      <c r="L79" s="134">
        <f t="shared" si="47"/>
        <v>0.25</v>
      </c>
      <c r="M79" s="134">
        <f t="shared" si="47"/>
        <v>0.25</v>
      </c>
      <c r="N79" s="134">
        <f t="shared" si="47"/>
        <v>0.25</v>
      </c>
      <c r="O79" s="134">
        <f t="shared" si="47"/>
        <v>0.25</v>
      </c>
      <c r="P79" s="134">
        <f t="shared" si="47"/>
        <v>0.25</v>
      </c>
      <c r="Q79" s="134">
        <f t="shared" si="47"/>
        <v>0.25</v>
      </c>
      <c r="R79" s="134">
        <f t="shared" si="47"/>
        <v>0.25</v>
      </c>
      <c r="S79" s="134">
        <f t="shared" si="47"/>
        <v>0.25</v>
      </c>
      <c r="T79" s="134">
        <f t="shared" si="47"/>
        <v>0.25</v>
      </c>
      <c r="U79" s="134">
        <f t="shared" si="47"/>
        <v>0.25</v>
      </c>
      <c r="V79" s="134">
        <f t="shared" si="47"/>
        <v>0.25</v>
      </c>
      <c r="W79" s="24">
        <f>GRIGLIA!G12</f>
        <v>0.25</v>
      </c>
    </row>
    <row r="80" spans="4:23" ht="12.75">
      <c r="D80" s="133" t="s">
        <v>17</v>
      </c>
      <c r="E80" s="134">
        <f>E$78*$W80</f>
        <v>0.75</v>
      </c>
      <c r="F80" s="134">
        <f t="shared" si="47"/>
        <v>0.75</v>
      </c>
      <c r="G80" s="134">
        <f t="shared" si="47"/>
        <v>0.75</v>
      </c>
      <c r="H80" s="134">
        <f t="shared" si="47"/>
        <v>0.75</v>
      </c>
      <c r="I80" s="134">
        <f t="shared" si="47"/>
        <v>0.75</v>
      </c>
      <c r="J80" s="134">
        <f t="shared" si="47"/>
        <v>0.75</v>
      </c>
      <c r="K80" s="134">
        <f t="shared" si="47"/>
        <v>0.75</v>
      </c>
      <c r="L80" s="134">
        <f t="shared" si="47"/>
        <v>0.75</v>
      </c>
      <c r="M80" s="134">
        <f t="shared" si="47"/>
        <v>0.75</v>
      </c>
      <c r="N80" s="134">
        <f t="shared" si="47"/>
        <v>0.75</v>
      </c>
      <c r="O80" s="134">
        <f t="shared" si="47"/>
        <v>0.75</v>
      </c>
      <c r="P80" s="134">
        <f t="shared" si="47"/>
        <v>0.75</v>
      </c>
      <c r="Q80" s="134">
        <f t="shared" si="47"/>
        <v>0.75</v>
      </c>
      <c r="R80" s="134">
        <f t="shared" si="47"/>
        <v>0.75</v>
      </c>
      <c r="S80" s="134">
        <f t="shared" si="47"/>
        <v>0.75</v>
      </c>
      <c r="T80" s="134">
        <f t="shared" si="47"/>
        <v>0.75</v>
      </c>
      <c r="U80" s="134">
        <f t="shared" si="47"/>
        <v>0.75</v>
      </c>
      <c r="V80" s="134">
        <f t="shared" si="47"/>
        <v>0.75</v>
      </c>
      <c r="W80" s="24">
        <f>GRIGLIA!E12</f>
        <v>0.75</v>
      </c>
    </row>
    <row r="81" spans="4:23" ht="12.75">
      <c r="D81" s="133" t="s">
        <v>21</v>
      </c>
      <c r="E81" s="134">
        <f>E$78*$W81</f>
        <v>0</v>
      </c>
      <c r="F81" s="134">
        <f t="shared" si="47"/>
        <v>0</v>
      </c>
      <c r="G81" s="134">
        <f t="shared" si="47"/>
        <v>0</v>
      </c>
      <c r="H81" s="134">
        <f t="shared" si="47"/>
        <v>0</v>
      </c>
      <c r="I81" s="134">
        <f t="shared" si="47"/>
        <v>0</v>
      </c>
      <c r="J81" s="134">
        <f t="shared" si="47"/>
        <v>0</v>
      </c>
      <c r="K81" s="134">
        <f t="shared" si="47"/>
        <v>0</v>
      </c>
      <c r="L81" s="134">
        <f t="shared" si="47"/>
        <v>0</v>
      </c>
      <c r="M81" s="134">
        <f t="shared" si="47"/>
        <v>0</v>
      </c>
      <c r="N81" s="134">
        <f t="shared" si="47"/>
        <v>0</v>
      </c>
      <c r="O81" s="134">
        <f t="shared" si="47"/>
        <v>0</v>
      </c>
      <c r="P81" s="134">
        <f t="shared" si="47"/>
        <v>0</v>
      </c>
      <c r="Q81" s="134">
        <f t="shared" si="47"/>
        <v>0</v>
      </c>
      <c r="R81" s="134">
        <f t="shared" si="47"/>
        <v>0</v>
      </c>
      <c r="S81" s="134">
        <f t="shared" si="47"/>
        <v>0</v>
      </c>
      <c r="T81" s="134">
        <f t="shared" si="47"/>
        <v>0</v>
      </c>
      <c r="U81" s="134">
        <f t="shared" si="47"/>
        <v>0</v>
      </c>
      <c r="V81" s="134">
        <f t="shared" si="47"/>
        <v>0</v>
      </c>
      <c r="W81" s="24">
        <f>GRIGLIA!H12</f>
        <v>0</v>
      </c>
    </row>
    <row r="82" spans="4:23" ht="12.75">
      <c r="D82" s="133" t="s">
        <v>10</v>
      </c>
      <c r="E82" s="134">
        <f>E$78*$W82</f>
        <v>0.5</v>
      </c>
      <c r="F82" s="134">
        <f t="shared" si="47"/>
        <v>0.5</v>
      </c>
      <c r="G82" s="134">
        <f t="shared" si="47"/>
        <v>0.5</v>
      </c>
      <c r="H82" s="134">
        <f t="shared" si="47"/>
        <v>0.5</v>
      </c>
      <c r="I82" s="134">
        <f t="shared" si="47"/>
        <v>0.5</v>
      </c>
      <c r="J82" s="134">
        <f t="shared" si="47"/>
        <v>0.5</v>
      </c>
      <c r="K82" s="134">
        <f t="shared" si="47"/>
        <v>0.5</v>
      </c>
      <c r="L82" s="134">
        <f t="shared" si="47"/>
        <v>0.5</v>
      </c>
      <c r="M82" s="134">
        <f t="shared" si="47"/>
        <v>0.5</v>
      </c>
      <c r="N82" s="134">
        <f t="shared" si="47"/>
        <v>0.5</v>
      </c>
      <c r="O82" s="134">
        <f t="shared" si="47"/>
        <v>0.5</v>
      </c>
      <c r="P82" s="134">
        <f t="shared" si="47"/>
        <v>0.5</v>
      </c>
      <c r="Q82" s="134">
        <f t="shared" si="47"/>
        <v>0.5</v>
      </c>
      <c r="R82" s="134">
        <f t="shared" si="47"/>
        <v>0.5</v>
      </c>
      <c r="S82" s="134">
        <f t="shared" si="47"/>
        <v>0.5</v>
      </c>
      <c r="T82" s="134">
        <f t="shared" si="47"/>
        <v>0.5</v>
      </c>
      <c r="U82" s="134">
        <f t="shared" si="47"/>
        <v>0.5</v>
      </c>
      <c r="V82" s="134">
        <f t="shared" si="47"/>
        <v>0.5</v>
      </c>
      <c r="W82" s="24">
        <f>GRIGLIA!F12</f>
        <v>0.5</v>
      </c>
    </row>
    <row r="83" spans="4:23" ht="13.5" thickBot="1">
      <c r="D83" s="105" t="s">
        <v>12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4:23" ht="14.25" thickBot="1">
      <c r="D84" s="106" t="s">
        <v>22</v>
      </c>
      <c r="E84" s="17">
        <f>E4</f>
        <v>1</v>
      </c>
      <c r="F84" s="17">
        <f aca="true" t="shared" si="48" ref="F84:V84">F4</f>
        <v>2</v>
      </c>
      <c r="G84" s="17">
        <f t="shared" si="48"/>
        <v>3</v>
      </c>
      <c r="H84" s="17">
        <f t="shared" si="48"/>
        <v>4</v>
      </c>
      <c r="I84" s="17">
        <f t="shared" si="48"/>
        <v>5</v>
      </c>
      <c r="J84" s="17">
        <f t="shared" si="48"/>
        <v>6</v>
      </c>
      <c r="K84" s="17">
        <f t="shared" si="48"/>
        <v>7</v>
      </c>
      <c r="L84" s="17">
        <f t="shared" si="48"/>
        <v>8</v>
      </c>
      <c r="M84" s="17">
        <f t="shared" si="48"/>
        <v>9</v>
      </c>
      <c r="N84" s="17">
        <f t="shared" si="48"/>
        <v>10</v>
      </c>
      <c r="O84" s="17">
        <f t="shared" si="48"/>
        <v>11</v>
      </c>
      <c r="P84" s="17">
        <f t="shared" si="48"/>
        <v>12</v>
      </c>
      <c r="Q84" s="17">
        <f t="shared" si="48"/>
        <v>13</v>
      </c>
      <c r="R84" s="17">
        <f t="shared" si="48"/>
        <v>14</v>
      </c>
      <c r="S84" s="17">
        <f t="shared" si="48"/>
        <v>15</v>
      </c>
      <c r="T84" s="17">
        <f t="shared" si="48"/>
        <v>16</v>
      </c>
      <c r="U84" s="17">
        <f t="shared" si="48"/>
        <v>17</v>
      </c>
      <c r="V84" s="17">
        <f t="shared" si="48"/>
        <v>18</v>
      </c>
      <c r="W84" s="17"/>
    </row>
    <row r="85" spans="4:22" ht="12.75">
      <c r="D85" s="13"/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4:22" ht="12.75">
      <c r="D86" s="13" t="s">
        <v>23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4:22" ht="12.75">
      <c r="D87" s="13" t="s">
        <v>24</v>
      </c>
      <c r="E87">
        <f>E86*E85</f>
        <v>0</v>
      </c>
      <c r="F87">
        <f aca="true" t="shared" si="49" ref="F87:V87">F86*F85</f>
        <v>0</v>
      </c>
      <c r="G87">
        <f t="shared" si="49"/>
        <v>0</v>
      </c>
      <c r="H87">
        <f t="shared" si="49"/>
        <v>0</v>
      </c>
      <c r="I87">
        <f t="shared" si="49"/>
        <v>0</v>
      </c>
      <c r="J87">
        <f t="shared" si="49"/>
        <v>0</v>
      </c>
      <c r="K87">
        <f t="shared" si="49"/>
        <v>0</v>
      </c>
      <c r="L87">
        <f t="shared" si="49"/>
        <v>0</v>
      </c>
      <c r="M87">
        <f t="shared" si="49"/>
        <v>0</v>
      </c>
      <c r="N87">
        <f t="shared" si="49"/>
        <v>0</v>
      </c>
      <c r="O87">
        <f t="shared" si="49"/>
        <v>0</v>
      </c>
      <c r="P87">
        <f t="shared" si="49"/>
        <v>0</v>
      </c>
      <c r="Q87">
        <f t="shared" si="49"/>
        <v>0</v>
      </c>
      <c r="R87">
        <f t="shared" si="49"/>
        <v>0</v>
      </c>
      <c r="S87">
        <f t="shared" si="49"/>
        <v>0</v>
      </c>
      <c r="T87">
        <f t="shared" si="49"/>
        <v>0</v>
      </c>
      <c r="U87">
        <f t="shared" si="49"/>
        <v>0</v>
      </c>
      <c r="V87">
        <f t="shared" si="49"/>
        <v>0</v>
      </c>
    </row>
    <row r="88" spans="4:24" ht="12.75">
      <c r="D88" s="13"/>
      <c r="X88">
        <f>SUM(E87:S87)*80%</f>
        <v>0</v>
      </c>
    </row>
    <row r="89" spans="4:22" ht="12.75">
      <c r="D89" s="13" t="s">
        <v>13</v>
      </c>
      <c r="E89">
        <f>MIN(E71:E75,E78:E82,E85:E87)</f>
        <v>0</v>
      </c>
      <c r="F89">
        <f aca="true" t="shared" si="50" ref="F89:V89">MIN(F71:F75,F78:F82,F85:F87)</f>
        <v>0</v>
      </c>
      <c r="G89">
        <f t="shared" si="50"/>
        <v>0</v>
      </c>
      <c r="H89">
        <f t="shared" si="50"/>
        <v>0</v>
      </c>
      <c r="I89">
        <f t="shared" si="50"/>
        <v>0</v>
      </c>
      <c r="J89">
        <f t="shared" si="50"/>
        <v>0</v>
      </c>
      <c r="K89">
        <f t="shared" si="50"/>
        <v>0</v>
      </c>
      <c r="L89">
        <f t="shared" si="50"/>
        <v>0</v>
      </c>
      <c r="M89">
        <f t="shared" si="50"/>
        <v>0</v>
      </c>
      <c r="N89">
        <f t="shared" si="50"/>
        <v>0</v>
      </c>
      <c r="O89">
        <f t="shared" si="50"/>
        <v>0</v>
      </c>
      <c r="P89">
        <f t="shared" si="50"/>
        <v>0</v>
      </c>
      <c r="Q89">
        <f t="shared" si="50"/>
        <v>0</v>
      </c>
      <c r="R89">
        <f t="shared" si="50"/>
        <v>0</v>
      </c>
      <c r="S89">
        <f t="shared" si="50"/>
        <v>0</v>
      </c>
      <c r="T89">
        <f t="shared" si="50"/>
        <v>0</v>
      </c>
      <c r="U89">
        <f t="shared" si="50"/>
        <v>0</v>
      </c>
      <c r="V89">
        <f t="shared" si="50"/>
        <v>0</v>
      </c>
    </row>
    <row r="90" spans="4:24" ht="12.75">
      <c r="D90" s="13" t="s">
        <v>25</v>
      </c>
      <c r="E90">
        <f>IF(E34=$D$69,MAX(E71:E75),IF(E34=$D$76,MAX(E78:E82),E87))</f>
        <v>1</v>
      </c>
      <c r="F90">
        <f aca="true" t="shared" si="51" ref="F90:V90">IF(F34=$D$69,MAX(F71:F75),IF(F34=$D$76,MAX(F78:F82),F87))</f>
        <v>1</v>
      </c>
      <c r="G90">
        <f t="shared" si="51"/>
        <v>1</v>
      </c>
      <c r="H90">
        <f t="shared" si="51"/>
        <v>1</v>
      </c>
      <c r="I90">
        <f t="shared" si="51"/>
        <v>1</v>
      </c>
      <c r="J90">
        <f t="shared" si="51"/>
        <v>1</v>
      </c>
      <c r="K90">
        <f t="shared" si="51"/>
        <v>1</v>
      </c>
      <c r="L90">
        <f t="shared" si="51"/>
        <v>1</v>
      </c>
      <c r="M90">
        <f t="shared" si="51"/>
        <v>1</v>
      </c>
      <c r="N90">
        <f t="shared" si="51"/>
        <v>1</v>
      </c>
      <c r="O90">
        <f t="shared" si="51"/>
        <v>1</v>
      </c>
      <c r="P90">
        <f t="shared" si="51"/>
        <v>1</v>
      </c>
      <c r="Q90">
        <f t="shared" si="51"/>
        <v>1</v>
      </c>
      <c r="R90">
        <f t="shared" si="51"/>
        <v>1</v>
      </c>
      <c r="S90">
        <f t="shared" si="51"/>
        <v>1</v>
      </c>
      <c r="T90">
        <f t="shared" si="51"/>
        <v>1</v>
      </c>
      <c r="U90">
        <f t="shared" si="51"/>
        <v>1</v>
      </c>
      <c r="V90">
        <f t="shared" si="51"/>
        <v>1</v>
      </c>
      <c r="X90">
        <f>SUM(E90:V90)</f>
        <v>18</v>
      </c>
    </row>
    <row r="92" spans="5:23" ht="12.75">
      <c r="E92" s="16" t="str">
        <f>E68</f>
        <v>G</v>
      </c>
      <c r="F92" s="16" t="str">
        <f aca="true" t="shared" si="52" ref="F92:V92">F68</f>
        <v>G</v>
      </c>
      <c r="G92" s="16" t="str">
        <f t="shared" si="52"/>
        <v>G</v>
      </c>
      <c r="H92" s="16" t="str">
        <f t="shared" si="52"/>
        <v>G</v>
      </c>
      <c r="I92" s="16" t="str">
        <f t="shared" si="52"/>
        <v>G</v>
      </c>
      <c r="J92" s="16" t="str">
        <f t="shared" si="52"/>
        <v>G</v>
      </c>
      <c r="K92" s="16" t="str">
        <f t="shared" si="52"/>
        <v>G</v>
      </c>
      <c r="L92" s="16" t="str">
        <f t="shared" si="52"/>
        <v>G</v>
      </c>
      <c r="M92" s="16" t="str">
        <f t="shared" si="52"/>
        <v>G</v>
      </c>
      <c r="N92" s="16" t="str">
        <f t="shared" si="52"/>
        <v>G</v>
      </c>
      <c r="O92" s="16" t="str">
        <f t="shared" si="52"/>
        <v>G</v>
      </c>
      <c r="P92" s="16" t="str">
        <f t="shared" si="52"/>
        <v>G</v>
      </c>
      <c r="Q92" s="16" t="str">
        <f t="shared" si="52"/>
        <v>G</v>
      </c>
      <c r="R92" s="16" t="str">
        <f t="shared" si="52"/>
        <v>G</v>
      </c>
      <c r="S92" s="16" t="str">
        <f t="shared" si="52"/>
        <v>G</v>
      </c>
      <c r="T92" s="16" t="str">
        <f t="shared" si="52"/>
        <v>G</v>
      </c>
      <c r="U92" s="16" t="str">
        <f t="shared" si="52"/>
        <v>G</v>
      </c>
      <c r="V92" s="16" t="str">
        <f t="shared" si="52"/>
        <v>G</v>
      </c>
      <c r="W92" s="16"/>
    </row>
    <row r="93" ht="13.5" thickBot="1">
      <c r="D93" t="s">
        <v>26</v>
      </c>
    </row>
    <row r="94" spans="4:23" ht="14.25" thickBot="1">
      <c r="D94" s="13"/>
      <c r="E94" s="17">
        <f aca="true" t="shared" si="53" ref="E94:V94">E4</f>
        <v>1</v>
      </c>
      <c r="F94" s="17">
        <f t="shared" si="53"/>
        <v>2</v>
      </c>
      <c r="G94" s="17">
        <f t="shared" si="53"/>
        <v>3</v>
      </c>
      <c r="H94" s="17">
        <f t="shared" si="53"/>
        <v>4</v>
      </c>
      <c r="I94" s="17">
        <f t="shared" si="53"/>
        <v>5</v>
      </c>
      <c r="J94" s="17">
        <f t="shared" si="53"/>
        <v>6</v>
      </c>
      <c r="K94" s="17">
        <f t="shared" si="53"/>
        <v>7</v>
      </c>
      <c r="L94" s="17">
        <f t="shared" si="53"/>
        <v>8</v>
      </c>
      <c r="M94" s="17">
        <f t="shared" si="53"/>
        <v>9</v>
      </c>
      <c r="N94" s="17">
        <f t="shared" si="53"/>
        <v>10</v>
      </c>
      <c r="O94" s="17">
        <f t="shared" si="53"/>
        <v>11</v>
      </c>
      <c r="P94" s="17">
        <f t="shared" si="53"/>
        <v>12</v>
      </c>
      <c r="Q94" s="17">
        <f t="shared" si="53"/>
        <v>13</v>
      </c>
      <c r="R94" s="17">
        <f t="shared" si="53"/>
        <v>14</v>
      </c>
      <c r="S94" s="17">
        <f t="shared" si="53"/>
        <v>15</v>
      </c>
      <c r="T94" s="17">
        <f t="shared" si="53"/>
        <v>16</v>
      </c>
      <c r="U94" s="17">
        <f t="shared" si="53"/>
        <v>17</v>
      </c>
      <c r="V94" s="17">
        <f t="shared" si="53"/>
        <v>18</v>
      </c>
      <c r="W94" s="17"/>
    </row>
    <row r="95" spans="4:22" ht="12.75">
      <c r="D95" s="13" t="s">
        <v>13</v>
      </c>
      <c r="E95">
        <f aca="true" t="shared" si="54" ref="E95:S95">MIN(E38:E62)</f>
        <v>0</v>
      </c>
      <c r="F95">
        <f t="shared" si="54"/>
        <v>0</v>
      </c>
      <c r="G95">
        <f t="shared" si="54"/>
        <v>0</v>
      </c>
      <c r="H95">
        <f t="shared" si="54"/>
        <v>0</v>
      </c>
      <c r="I95">
        <f t="shared" si="54"/>
        <v>0</v>
      </c>
      <c r="J95">
        <f t="shared" si="54"/>
        <v>0</v>
      </c>
      <c r="K95">
        <f t="shared" si="54"/>
        <v>0</v>
      </c>
      <c r="L95">
        <f t="shared" si="54"/>
        <v>0</v>
      </c>
      <c r="M95">
        <f t="shared" si="54"/>
        <v>0</v>
      </c>
      <c r="N95">
        <f t="shared" si="54"/>
        <v>0</v>
      </c>
      <c r="O95">
        <f t="shared" si="54"/>
        <v>0</v>
      </c>
      <c r="P95">
        <f t="shared" si="54"/>
        <v>0</v>
      </c>
      <c r="Q95">
        <f t="shared" si="54"/>
        <v>0</v>
      </c>
      <c r="R95">
        <f t="shared" si="54"/>
        <v>0</v>
      </c>
      <c r="S95">
        <f t="shared" si="54"/>
        <v>0</v>
      </c>
      <c r="T95">
        <f>MIN(T38:T62)</f>
        <v>0</v>
      </c>
      <c r="U95">
        <f>MIN(U38:U62)</f>
        <v>0</v>
      </c>
      <c r="V95">
        <f>MIN(V38:V62)</f>
        <v>0</v>
      </c>
    </row>
    <row r="96" spans="4:22" ht="12.75">
      <c r="D96" s="13" t="s">
        <v>25</v>
      </c>
      <c r="E96">
        <f aca="true" t="shared" si="55" ref="E96:S96">MAX(E38:E62)</f>
        <v>1</v>
      </c>
      <c r="F96">
        <f t="shared" si="55"/>
        <v>1</v>
      </c>
      <c r="G96">
        <f t="shared" si="55"/>
        <v>1</v>
      </c>
      <c r="H96">
        <f t="shared" si="55"/>
        <v>1</v>
      </c>
      <c r="I96">
        <f t="shared" si="55"/>
        <v>1</v>
      </c>
      <c r="J96">
        <f t="shared" si="55"/>
        <v>1</v>
      </c>
      <c r="K96">
        <f t="shared" si="55"/>
        <v>1</v>
      </c>
      <c r="L96">
        <f t="shared" si="55"/>
        <v>1</v>
      </c>
      <c r="M96">
        <f t="shared" si="55"/>
        <v>1</v>
      </c>
      <c r="N96">
        <f t="shared" si="55"/>
        <v>1</v>
      </c>
      <c r="O96">
        <f t="shared" si="55"/>
        <v>1</v>
      </c>
      <c r="P96">
        <f t="shared" si="55"/>
        <v>1</v>
      </c>
      <c r="Q96">
        <f t="shared" si="55"/>
        <v>1</v>
      </c>
      <c r="R96">
        <f t="shared" si="55"/>
        <v>1</v>
      </c>
      <c r="S96">
        <f t="shared" si="55"/>
        <v>1</v>
      </c>
      <c r="T96">
        <f>MAX(T38:T62)</f>
        <v>1</v>
      </c>
      <c r="U96">
        <f>MAX(U38:U62)</f>
        <v>1</v>
      </c>
      <c r="V96">
        <f>MAX(V38:V62)</f>
        <v>1</v>
      </c>
    </row>
    <row r="97" spans="4:22" ht="12.75">
      <c r="D97" s="13" t="s">
        <v>14</v>
      </c>
      <c r="E97">
        <f aca="true" t="shared" si="56" ref="E97:S97">AVERAGE(E38:E62)</f>
        <v>0.39</v>
      </c>
      <c r="F97">
        <f t="shared" si="56"/>
        <v>0.35</v>
      </c>
      <c r="G97">
        <f t="shared" si="56"/>
        <v>0.33</v>
      </c>
      <c r="H97">
        <f t="shared" si="56"/>
        <v>0.32</v>
      </c>
      <c r="I97">
        <f t="shared" si="56"/>
        <v>0.3</v>
      </c>
      <c r="J97">
        <f t="shared" si="56"/>
        <v>0.34</v>
      </c>
      <c r="K97">
        <f t="shared" si="56"/>
        <v>0.86</v>
      </c>
      <c r="L97">
        <f t="shared" si="56"/>
        <v>0.85</v>
      </c>
      <c r="M97">
        <f t="shared" si="56"/>
        <v>0.66</v>
      </c>
      <c r="N97">
        <f t="shared" si="56"/>
        <v>0.65</v>
      </c>
      <c r="O97">
        <f t="shared" si="56"/>
        <v>0.51</v>
      </c>
      <c r="P97">
        <f t="shared" si="56"/>
        <v>0.5</v>
      </c>
      <c r="Q97">
        <f t="shared" si="56"/>
        <v>0.85</v>
      </c>
      <c r="R97">
        <f t="shared" si="56"/>
        <v>0.84</v>
      </c>
      <c r="S97">
        <f t="shared" si="56"/>
        <v>0.65</v>
      </c>
      <c r="T97">
        <f>AVERAGE(T38:T62)</f>
        <v>0.66</v>
      </c>
      <c r="U97">
        <f>AVERAGE(U38:U62)</f>
        <v>0.48</v>
      </c>
      <c r="V97">
        <f>AVERAGE(V38:V62)</f>
        <v>0.48</v>
      </c>
    </row>
    <row r="98" spans="4:23" ht="12.75">
      <c r="D98" s="13" t="s">
        <v>27</v>
      </c>
      <c r="E98" s="14">
        <f>E97/E90</f>
        <v>0.39</v>
      </c>
      <c r="F98" s="14">
        <f aca="true" t="shared" si="57" ref="F98:S98">F97/F90</f>
        <v>0.35</v>
      </c>
      <c r="G98" s="14">
        <f t="shared" si="57"/>
        <v>0.33</v>
      </c>
      <c r="H98" s="14">
        <f t="shared" si="57"/>
        <v>0.32</v>
      </c>
      <c r="I98" s="14">
        <f t="shared" si="57"/>
        <v>0.3</v>
      </c>
      <c r="J98" s="14">
        <f t="shared" si="57"/>
        <v>0.34</v>
      </c>
      <c r="K98" s="14">
        <f t="shared" si="57"/>
        <v>0.86</v>
      </c>
      <c r="L98" s="14">
        <f t="shared" si="57"/>
        <v>0.85</v>
      </c>
      <c r="M98" s="14">
        <f t="shared" si="57"/>
        <v>0.66</v>
      </c>
      <c r="N98" s="14">
        <f t="shared" si="57"/>
        <v>0.65</v>
      </c>
      <c r="O98" s="14">
        <f t="shared" si="57"/>
        <v>0.51</v>
      </c>
      <c r="P98" s="14">
        <f t="shared" si="57"/>
        <v>0.5</v>
      </c>
      <c r="Q98" s="14">
        <f t="shared" si="57"/>
        <v>0.85</v>
      </c>
      <c r="R98" s="14">
        <f t="shared" si="57"/>
        <v>0.84</v>
      </c>
      <c r="S98" s="14">
        <f t="shared" si="57"/>
        <v>0.65</v>
      </c>
      <c r="T98" s="14">
        <f>T97/T90</f>
        <v>0.66</v>
      </c>
      <c r="U98" s="14">
        <f>U97/U90</f>
        <v>0.48</v>
      </c>
      <c r="V98" s="14">
        <f>V97/V90</f>
        <v>0.48</v>
      </c>
      <c r="W98" s="14"/>
    </row>
  </sheetData>
  <sheetProtection sheet="1" objects="1" scenarios="1"/>
  <mergeCells count="10">
    <mergeCell ref="A2:C2"/>
    <mergeCell ref="A36:B36"/>
    <mergeCell ref="X1:Z36"/>
    <mergeCell ref="E32:W33"/>
    <mergeCell ref="E36:V36"/>
    <mergeCell ref="W34:W36"/>
    <mergeCell ref="W2:W31"/>
    <mergeCell ref="E2:J2"/>
    <mergeCell ref="K2:P2"/>
    <mergeCell ref="Q2:V2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18.66015625" defaultRowHeight="12.75"/>
  <cols>
    <col min="1" max="1" width="5.83203125" style="0" customWidth="1"/>
    <col min="2" max="2" width="5.33203125" style="0" customWidth="1"/>
    <col min="3" max="3" width="5.66015625" style="0" customWidth="1"/>
    <col min="4" max="4" width="21.16015625" style="0" customWidth="1"/>
    <col min="5" max="22" width="15.83203125" style="0" customWidth="1"/>
    <col min="23" max="23" width="9.66015625" style="0" customWidth="1"/>
    <col min="24" max="25" width="7" style="0" customWidth="1"/>
    <col min="26" max="26" width="17.33203125" style="0" customWidth="1"/>
    <col min="27" max="27" width="8.33203125" style="0" customWidth="1"/>
    <col min="28" max="28" width="8.83203125" style="0" customWidth="1"/>
    <col min="29" max="30" width="7" style="0" customWidth="1"/>
    <col min="31" max="16384" width="9" style="0" customWidth="1"/>
  </cols>
  <sheetData>
    <row r="1" spans="1:31" s="3" customFormat="1" ht="28.5" customHeight="1">
      <c r="A1" s="273" t="str">
        <f>PROVA!A4</f>
        <v>VOTO IN DECIMI</v>
      </c>
      <c r="B1" s="275" t="str">
        <f>PROVA!B4</f>
        <v>VOTO IN 15mi</v>
      </c>
      <c r="C1" s="277" t="str">
        <f>PROVA!C4</f>
        <v>VOTO IN 35mi</v>
      </c>
      <c r="D1" s="206" t="str">
        <f>PROVA!A1</f>
        <v>Compito del </v>
      </c>
      <c r="E1" s="269" t="str">
        <f>PROVA!E2</f>
        <v>1° quesito</v>
      </c>
      <c r="F1" s="270"/>
      <c r="G1" s="270"/>
      <c r="H1" s="270"/>
      <c r="I1" s="270"/>
      <c r="J1" s="270"/>
      <c r="K1" s="270" t="str">
        <f>PROVA!K2</f>
        <v>2° quesito</v>
      </c>
      <c r="L1" s="270"/>
      <c r="M1" s="270"/>
      <c r="N1" s="270"/>
      <c r="O1" s="270"/>
      <c r="P1" s="270"/>
      <c r="Q1" s="271" t="str">
        <f>PROVA!Q2</f>
        <v>3° quesito</v>
      </c>
      <c r="R1" s="271"/>
      <c r="S1" s="271"/>
      <c r="T1" s="271"/>
      <c r="U1" s="271"/>
      <c r="V1" s="272"/>
      <c r="W1" s="23"/>
      <c r="X1" s="1"/>
      <c r="Y1" s="1"/>
      <c r="Z1" s="2"/>
      <c r="AA1" s="1"/>
      <c r="AB1" s="1"/>
      <c r="AC1" s="1"/>
      <c r="AD1" s="1"/>
      <c r="AE1" s="1"/>
    </row>
    <row r="2" spans="1:31" s="3" customFormat="1" ht="18">
      <c r="A2" s="274"/>
      <c r="B2" s="276"/>
      <c r="C2" s="278"/>
      <c r="D2" s="207">
        <f>PROVA!A2</f>
        <v>37575</v>
      </c>
      <c r="E2" s="204" t="s">
        <v>112</v>
      </c>
      <c r="F2" s="179" t="s">
        <v>113</v>
      </c>
      <c r="G2" s="179" t="s">
        <v>114</v>
      </c>
      <c r="H2" s="179" t="s">
        <v>118</v>
      </c>
      <c r="I2" s="179" t="s">
        <v>115</v>
      </c>
      <c r="J2" s="179" t="s">
        <v>116</v>
      </c>
      <c r="K2" s="179" t="s">
        <v>112</v>
      </c>
      <c r="L2" s="179" t="s">
        <v>113</v>
      </c>
      <c r="M2" s="179" t="s">
        <v>114</v>
      </c>
      <c r="N2" s="179" t="s">
        <v>118</v>
      </c>
      <c r="O2" s="179" t="s">
        <v>115</v>
      </c>
      <c r="P2" s="179" t="s">
        <v>116</v>
      </c>
      <c r="Q2" s="179" t="s">
        <v>112</v>
      </c>
      <c r="R2" s="179" t="s">
        <v>113</v>
      </c>
      <c r="S2" s="179" t="s">
        <v>114</v>
      </c>
      <c r="T2" s="179" t="s">
        <v>118</v>
      </c>
      <c r="U2" s="179" t="s">
        <v>115</v>
      </c>
      <c r="V2" s="180" t="s">
        <v>116</v>
      </c>
      <c r="W2" s="23"/>
      <c r="X2" s="5"/>
      <c r="Y2" s="1"/>
      <c r="Z2" s="1"/>
      <c r="AA2" s="1"/>
      <c r="AB2" s="2"/>
      <c r="AC2" s="2"/>
      <c r="AD2" s="1"/>
      <c r="AE2" s="1"/>
    </row>
    <row r="3" spans="1:31" s="62" customFormat="1" ht="27">
      <c r="A3" s="274"/>
      <c r="B3" s="276"/>
      <c r="C3" s="279"/>
      <c r="D3" s="205" t="str">
        <f>PROVA!D4</f>
        <v>ALUNNO</v>
      </c>
      <c r="E3" s="181" t="str">
        <f>GRIGLIA!C13</f>
        <v>si esprime con linguaggio</v>
      </c>
      <c r="F3" s="181" t="str">
        <f>GRIGLIA!C15</f>
        <v>articola il discorso in modo</v>
      </c>
      <c r="G3" s="181" t="str">
        <f>GRIGLIA!C17</f>
        <v>conosce i temi proposti in modo</v>
      </c>
      <c r="H3" s="181" t="str">
        <f>GRIGLIA!C19</f>
        <v>sa / non sa analizzare</v>
      </c>
      <c r="I3" s="181" t="str">
        <f>GRIGLIA!C21</f>
        <v>sa / non sa individuare</v>
      </c>
      <c r="J3" s="181" t="str">
        <f>GRIGLIA!C23</f>
        <v>esprime / non esprime giudizi</v>
      </c>
      <c r="K3" s="181" t="str">
        <f aca="true" t="shared" si="0" ref="K3:V3">E3</f>
        <v>si esprime con linguaggio</v>
      </c>
      <c r="L3" s="181" t="str">
        <f t="shared" si="0"/>
        <v>articola il discorso in modo</v>
      </c>
      <c r="M3" s="181" t="str">
        <f t="shared" si="0"/>
        <v>conosce i temi proposti in modo</v>
      </c>
      <c r="N3" s="181" t="str">
        <f t="shared" si="0"/>
        <v>sa / non sa analizzare</v>
      </c>
      <c r="O3" s="181" t="str">
        <f t="shared" si="0"/>
        <v>sa / non sa individuare</v>
      </c>
      <c r="P3" s="181" t="str">
        <f t="shared" si="0"/>
        <v>esprime / non esprime giudizi</v>
      </c>
      <c r="Q3" s="181" t="str">
        <f t="shared" si="0"/>
        <v>si esprime con linguaggio</v>
      </c>
      <c r="R3" s="181" t="str">
        <f t="shared" si="0"/>
        <v>articola il discorso in modo</v>
      </c>
      <c r="S3" s="181" t="str">
        <f t="shared" si="0"/>
        <v>conosce i temi proposti in modo</v>
      </c>
      <c r="T3" s="181" t="str">
        <f t="shared" si="0"/>
        <v>sa / non sa analizzare</v>
      </c>
      <c r="U3" s="181" t="str">
        <f t="shared" si="0"/>
        <v>sa / non sa individuare</v>
      </c>
      <c r="V3" s="182" t="str">
        <f t="shared" si="0"/>
        <v>esprime / non esprime giudizi</v>
      </c>
      <c r="W3" s="23"/>
      <c r="X3" s="63"/>
      <c r="Y3" s="64"/>
      <c r="AB3" s="64"/>
      <c r="AC3" s="64"/>
      <c r="AE3" s="64"/>
    </row>
    <row r="4" spans="1:31" ht="51">
      <c r="A4" s="145">
        <f>PROVA!A5</f>
        <v>10</v>
      </c>
      <c r="B4" s="146">
        <f>PROVA!B5</f>
        <v>15</v>
      </c>
      <c r="C4" s="146">
        <f>PROVA!C5</f>
        <v>35</v>
      </c>
      <c r="D4" s="169" t="str">
        <f>PROVA!D5</f>
        <v>studente1</v>
      </c>
      <c r="E4" s="170" t="str">
        <f>HLOOKUP(PROVA!E5,GRIGLIA!$D$102:$H$108,2)</f>
        <v>adeguato, ricco, fluido</v>
      </c>
      <c r="F4" s="170" t="str">
        <f>HLOOKUP(PROVA!F5,GRIGLIA!$D$102:$H$108,3)</f>
        <v>adeguato, ricco, organico</v>
      </c>
      <c r="G4" s="170" t="str">
        <f>HLOOKUP(PROVA!G5,GRIGLIA!$D$102:$H$108,4)</f>
        <v>ampio  e approfondito</v>
      </c>
      <c r="H4" s="170" t="str">
        <f>HLOOKUP(PROVA!H5,GRIGLIA!$D$102:$H$108,5)</f>
        <v>sa analizzare i vari aspetti significativi del problema posto</v>
      </c>
      <c r="I4" s="170" t="str">
        <f>HLOOKUP(PROVA!I5,GRIGLIA!$D$102:$H$108,6)</f>
        <v>sa individuare concetti chiave e stabilire efficaci collegamenti</v>
      </c>
      <c r="J4" s="170" t="str">
        <f>HLOOKUP(PROVA!J5,GRIGLIA!$D$102:$H$108,7)</f>
        <v>esprime giudizi adeguati e li argomenta efficacemente</v>
      </c>
      <c r="K4" s="171" t="str">
        <f>HLOOKUP(PROVA!K5,GRIGLIA!$D$102:$H$108,2)</f>
        <v>adeguato, ricco, fluido</v>
      </c>
      <c r="L4" s="171" t="str">
        <f>HLOOKUP(PROVA!L5,GRIGLIA!$D$102:$H$108,3)</f>
        <v>adeguato, ricco, organico</v>
      </c>
      <c r="M4" s="171" t="str">
        <f>HLOOKUP(PROVA!M5,GRIGLIA!$D$102:$H$108,4)</f>
        <v>ampio  e approfondito</v>
      </c>
      <c r="N4" s="171" t="str">
        <f>HLOOKUP(PROVA!N5,GRIGLIA!$D$102:$H$108,5)</f>
        <v>sa analizzare i vari aspetti significativi del problema posto</v>
      </c>
      <c r="O4" s="171" t="str">
        <f>HLOOKUP(PROVA!O5,GRIGLIA!$D$102:$H$108,6)</f>
        <v>sa individuare concetti chiave e stabilire efficaci collegamenti</v>
      </c>
      <c r="P4" s="171" t="str">
        <f>HLOOKUP(PROVA!P5,GRIGLIA!$D$102:$H$108,7)</f>
        <v>esprime giudizi adeguati e li argomenta efficacemente</v>
      </c>
      <c r="Q4" s="172" t="str">
        <f>HLOOKUP(PROVA!Q5,GRIGLIA!$D$102:$H$108,2)</f>
        <v>adeguato, ricco, fluido</v>
      </c>
      <c r="R4" s="172" t="str">
        <f>HLOOKUP(PROVA!R5,GRIGLIA!$D$102:$H$108,3)</f>
        <v>adeguato, ricco, organico</v>
      </c>
      <c r="S4" s="172" t="str">
        <f>HLOOKUP(PROVA!S5,GRIGLIA!$D$102:$H$108,4)</f>
        <v>ampio  e approfondito</v>
      </c>
      <c r="T4" s="172" t="str">
        <f>HLOOKUP(PROVA!T5,GRIGLIA!$D$102:$H$108,5)</f>
        <v>sa analizzare i vari aspetti significativi del problema posto</v>
      </c>
      <c r="U4" s="172" t="str">
        <f>HLOOKUP(PROVA!U5,GRIGLIA!$D$102:$H$108,6)</f>
        <v>sa individuare concetti chiave e stabilire efficaci collegamenti</v>
      </c>
      <c r="V4" s="173" t="str">
        <f>HLOOKUP(PROVA!V5,GRIGLIA!$D$102:$H$108,7)</f>
        <v>esprime giudizi adeguati e li argomenta efficacemente</v>
      </c>
      <c r="W4" s="23"/>
      <c r="X4" s="7"/>
      <c r="Y4" s="7"/>
      <c r="Z4" s="2"/>
      <c r="AA4" s="1"/>
      <c r="AB4" s="1"/>
      <c r="AC4" s="1"/>
      <c r="AD4" s="2"/>
      <c r="AE4" s="7"/>
    </row>
    <row r="5" spans="1:31" ht="51">
      <c r="A5" s="145">
        <f>PROVA!A6</f>
        <v>7.5</v>
      </c>
      <c r="B5" s="146">
        <f>PROVA!B6</f>
        <v>11.875</v>
      </c>
      <c r="C5" s="146">
        <f>PROVA!C6</f>
        <v>26.875</v>
      </c>
      <c r="D5" s="169" t="str">
        <f>PROVA!D6</f>
        <v>studente2</v>
      </c>
      <c r="E5" s="170" t="str">
        <f>HLOOKUP(PROVA!E6,GRIGLIA!$D$102:$H$108,2)</f>
        <v>corretta e adeguato</v>
      </c>
      <c r="F5" s="170" t="str">
        <f>HLOOKUP(PROVA!F6,GRIGLIA!$D$102:$H$108,3)</f>
        <v>semplice ma coerente</v>
      </c>
      <c r="G5" s="170" t="str">
        <f>HLOOKUP(PROVA!G6,GRIGLIA!$D$102:$H$108,4)</f>
        <v>corretto ma limitato al manuale</v>
      </c>
      <c r="H5" s="170" t="str">
        <f>HLOOKUP(PROVA!H6,GRIGLIA!$D$102:$H$108,5)</f>
        <v>sa analizzare alcuni aspetti significativi del problema posto</v>
      </c>
      <c r="I5" s="170" t="str">
        <f>HLOOKUP(PROVA!I6,GRIGLIA!$D$102:$H$108,6)</f>
        <v>sa individuare i concetti chiave e stabilire semplici collegamenti</v>
      </c>
      <c r="J5" s="170" t="str">
        <f>HLOOKUP(PROVA!J6,GRIGLIA!$D$102:$H$108,7)</f>
        <v>esprime giudizi adeguati ma non sempre li argomenta efficacemente</v>
      </c>
      <c r="K5" s="171" t="str">
        <f>HLOOKUP(PROVA!K6,GRIGLIA!$D$102:$H$108,2)</f>
        <v>corretta e adeguato</v>
      </c>
      <c r="L5" s="171" t="str">
        <f>HLOOKUP(PROVA!L6,GRIGLIA!$D$102:$H$108,3)</f>
        <v>semplice ma coerente</v>
      </c>
      <c r="M5" s="171" t="str">
        <f>HLOOKUP(PROVA!M6,GRIGLIA!$D$102:$H$108,4)</f>
        <v>corretto ma limitato al manuale</v>
      </c>
      <c r="N5" s="171" t="str">
        <f>HLOOKUP(PROVA!N6,GRIGLIA!$D$102:$H$108,5)</f>
        <v>sa analizzare alcuni aspetti significativi del problema posto</v>
      </c>
      <c r="O5" s="171" t="str">
        <f>HLOOKUP(PROVA!O6,GRIGLIA!$D$102:$H$108,6)</f>
        <v>sa individuare i concetti chiave e stabilire semplici collegamenti</v>
      </c>
      <c r="P5" s="171" t="str">
        <f>HLOOKUP(PROVA!P6,GRIGLIA!$D$102:$H$108,7)</f>
        <v>esprime giudizi adeguati ma non sempre li argomenta efficacemente</v>
      </c>
      <c r="Q5" s="172" t="str">
        <f>HLOOKUP(PROVA!Q6,GRIGLIA!$D$102:$H$108,2)</f>
        <v>corretta e adeguato</v>
      </c>
      <c r="R5" s="172" t="str">
        <f>HLOOKUP(PROVA!R6,GRIGLIA!$D$102:$H$108,3)</f>
        <v>semplice ma coerente</v>
      </c>
      <c r="S5" s="172" t="str">
        <f>HLOOKUP(PROVA!S6,GRIGLIA!$D$102:$H$108,4)</f>
        <v>corretto ma limitato al manuale</v>
      </c>
      <c r="T5" s="172" t="str">
        <f>HLOOKUP(PROVA!T6,GRIGLIA!$D$102:$H$108,5)</f>
        <v>sa analizzare alcuni aspetti significativi del problema posto</v>
      </c>
      <c r="U5" s="172" t="str">
        <f>HLOOKUP(PROVA!U6,GRIGLIA!$D$102:$H$108,6)</f>
        <v>sa individuare i concetti chiave e stabilire semplici collegamenti</v>
      </c>
      <c r="V5" s="173" t="str">
        <f>HLOOKUP(PROVA!V6,GRIGLIA!$D$102:$H$108,7)</f>
        <v>esprime giudizi adeguati ma non sempre li argomenta efficacemente</v>
      </c>
      <c r="W5" s="25"/>
      <c r="X5" s="7"/>
      <c r="Y5" s="7"/>
      <c r="Z5" s="8"/>
      <c r="AA5" s="7"/>
      <c r="AB5" s="1"/>
      <c r="AC5" s="7"/>
      <c r="AD5" s="8"/>
      <c r="AE5" s="7"/>
    </row>
    <row r="6" spans="1:31" ht="63.75">
      <c r="A6" s="145">
        <f>PROVA!A7</f>
        <v>5</v>
      </c>
      <c r="B6" s="146">
        <f>PROVA!B7</f>
        <v>8.333333333333334</v>
      </c>
      <c r="C6" s="146">
        <f>PROVA!C7</f>
        <v>18.333333333333332</v>
      </c>
      <c r="D6" s="169" t="str">
        <f>PROVA!D7</f>
        <v>studente3</v>
      </c>
      <c r="E6" s="170" t="str">
        <f>HLOOKUP(PROVA!E7,GRIGLIA!$D$102:$H$108,2)</f>
        <v>non sempre corretta e appropriato</v>
      </c>
      <c r="F6" s="170" t="str">
        <f>HLOOKUP(PROVA!F7,GRIGLIA!$D$102:$H$108,3)</f>
        <v>talvolta poco coerente</v>
      </c>
      <c r="G6" s="170" t="str">
        <f>HLOOKUP(PROVA!G7,GRIGLIA!$D$102:$H$108,4)</f>
        <v>quasi sempre corretto, con alcune imprecisioni o lacune</v>
      </c>
      <c r="H6" s="170" t="str">
        <f>HLOOKUP(PROVA!H7,GRIGLIA!$D$102:$H$108,5)</f>
        <v>sa analizzare pochi aspetti significativi del problema posto</v>
      </c>
      <c r="I6" s="170" t="str">
        <f>HLOOKUP(PROVA!I7,GRIGLIA!$D$102:$H$108,6)</f>
        <v>sa individuare i concetti chiave ma solo saltuariamente collegarli</v>
      </c>
      <c r="J6" s="170" t="str">
        <f>HLOOKUP(PROVA!J7,GRIGLIA!$D$102:$H$108,7)</f>
        <v>esprime giudizi non sempre adeguati al tema proposto, e li argomenta poco efficacemente</v>
      </c>
      <c r="K6" s="171" t="str">
        <f>HLOOKUP(PROVA!K7,GRIGLIA!$D$102:$H$108,2)</f>
        <v>non sempre corretta e appropriato</v>
      </c>
      <c r="L6" s="171" t="str">
        <f>HLOOKUP(PROVA!L7,GRIGLIA!$D$102:$H$108,3)</f>
        <v>talvolta poco coerente</v>
      </c>
      <c r="M6" s="171" t="str">
        <f>HLOOKUP(PROVA!M7,GRIGLIA!$D$102:$H$108,4)</f>
        <v>quasi sempre corretto, con alcune imprecisioni o lacune</v>
      </c>
      <c r="N6" s="171" t="str">
        <f>HLOOKUP(PROVA!N7,GRIGLIA!$D$102:$H$108,5)</f>
        <v>sa analizzare pochi aspetti significativi del problema posto</v>
      </c>
      <c r="O6" s="171" t="str">
        <f>HLOOKUP(PROVA!O7,GRIGLIA!$D$102:$H$108,6)</f>
        <v>sa individuare i concetti chiave ma solo saltuariamente collegarli</v>
      </c>
      <c r="P6" s="171" t="str">
        <f>HLOOKUP(PROVA!P7,GRIGLIA!$D$102:$H$108,7)</f>
        <v>esprime giudizi non sempre adeguati al tema proposto, e li argomenta poco efficacemente</v>
      </c>
      <c r="Q6" s="172" t="str">
        <f>HLOOKUP(PROVA!Q7,GRIGLIA!$D$102:$H$108,2)</f>
        <v>non sempre corretta e appropriato</v>
      </c>
      <c r="R6" s="172" t="str">
        <f>HLOOKUP(PROVA!R7,GRIGLIA!$D$102:$H$108,3)</f>
        <v>talvolta poco coerente</v>
      </c>
      <c r="S6" s="172" t="str">
        <f>HLOOKUP(PROVA!S7,GRIGLIA!$D$102:$H$108,4)</f>
        <v>quasi sempre corretto, con alcune imprecisioni o lacune</v>
      </c>
      <c r="T6" s="172" t="str">
        <f>HLOOKUP(PROVA!T7,GRIGLIA!$D$102:$H$108,5)</f>
        <v>sa analizzare pochi aspetti significativi del problema posto</v>
      </c>
      <c r="U6" s="172" t="str">
        <f>HLOOKUP(PROVA!U7,GRIGLIA!$D$102:$H$108,6)</f>
        <v>sa individuare i concetti chiave ma solo saltuariamente collegarli</v>
      </c>
      <c r="V6" s="173" t="str">
        <f>HLOOKUP(PROVA!V7,GRIGLIA!$D$102:$H$108,7)</f>
        <v>esprime giudizi non sempre adeguati al tema proposto, e li argomenta poco efficacemente</v>
      </c>
      <c r="W6" s="25"/>
      <c r="X6" s="7"/>
      <c r="Y6" s="7"/>
      <c r="Z6" s="8"/>
      <c r="AA6" s="7"/>
      <c r="AB6" s="1"/>
      <c r="AC6" s="7"/>
      <c r="AD6" s="7"/>
      <c r="AE6" s="7"/>
    </row>
    <row r="7" spans="1:31" ht="51">
      <c r="A7" s="145">
        <f>PROVA!A8</f>
        <v>2.25</v>
      </c>
      <c r="B7" s="146">
        <f>PROVA!B8</f>
        <v>3.75</v>
      </c>
      <c r="C7" s="146">
        <f>PROVA!C8</f>
        <v>8.25</v>
      </c>
      <c r="D7" s="169" t="str">
        <f>PROVA!D8</f>
        <v>studente4</v>
      </c>
      <c r="E7" s="170" t="str">
        <f>HLOOKUP(PROVA!E8,GRIGLIA!$D$102:$H$108,2)</f>
        <v>spesso scorretto o   inadeguato</v>
      </c>
      <c r="F7" s="170" t="str">
        <f>HLOOKUP(PROVA!F8,GRIGLIA!$D$102:$H$108,3)</f>
        <v>spesso incoerente</v>
      </c>
      <c r="G7" s="170" t="str">
        <f>HLOOKUP(PROVA!G8,GRIGLIA!$D$102:$H$108,4)</f>
        <v>solo parziale e non sempre corretto</v>
      </c>
      <c r="H7" s="170" t="str">
        <f>HLOOKUP(PROVA!H8,GRIGLIA!$D$102:$H$108,5)</f>
        <v>non sa analizzare gli aspetti significativi del problema posto</v>
      </c>
      <c r="I7" s="170" t="str">
        <f>HLOOKUP(PROVA!I8,GRIGLIA!$D$102:$H$108,6)</f>
        <v>sa individuare i concetti chiave ma non collegarli</v>
      </c>
      <c r="J7" s="170" t="str">
        <f>HLOOKUP(PROVA!J8,GRIGLIA!$D$102:$H$108,7)</f>
        <v>esprime giudizi in forma definitoria e senza argomentazioni</v>
      </c>
      <c r="K7" s="171" t="str">
        <f>HLOOKUP(PROVA!K8,GRIGLIA!$D$102:$H$108,2)</f>
        <v>spesso scorretto o   inadeguato</v>
      </c>
      <c r="L7" s="171" t="str">
        <f>HLOOKUP(PROVA!L8,GRIGLIA!$D$102:$H$108,3)</f>
        <v>spesso incoerente</v>
      </c>
      <c r="M7" s="171" t="str">
        <f>HLOOKUP(PROVA!M8,GRIGLIA!$D$102:$H$108,4)</f>
        <v>solo parziale e non sempre corretto</v>
      </c>
      <c r="N7" s="171" t="str">
        <f>HLOOKUP(PROVA!N8,GRIGLIA!$D$102:$H$108,5)</f>
        <v>non sa analizzare gli aspetti significativi del problema posto</v>
      </c>
      <c r="O7" s="171" t="str">
        <f>HLOOKUP(PROVA!O8,GRIGLIA!$D$102:$H$108,6)</f>
        <v>sa individuare i concetti chiave ma non collegarli</v>
      </c>
      <c r="P7" s="171" t="str">
        <f>HLOOKUP(PROVA!P8,GRIGLIA!$D$102:$H$108,7)</f>
        <v>esprime giudizi in forma definitoria e senza argomentazioni</v>
      </c>
      <c r="Q7" s="172" t="str">
        <f>HLOOKUP(PROVA!Q8,GRIGLIA!$D$102:$H$108,2)</f>
        <v>spesso scorretto o   inadeguato</v>
      </c>
      <c r="R7" s="172" t="str">
        <f>HLOOKUP(PROVA!R8,GRIGLIA!$D$102:$H$108,3)</f>
        <v>spesso incoerente</v>
      </c>
      <c r="S7" s="172" t="str">
        <f>HLOOKUP(PROVA!S8,GRIGLIA!$D$102:$H$108,4)</f>
        <v>solo parziale e non sempre corretto</v>
      </c>
      <c r="T7" s="172" t="str">
        <f>HLOOKUP(PROVA!T8,GRIGLIA!$D$102:$H$108,5)</f>
        <v>non sa analizzare gli aspetti significativi del problema posto</v>
      </c>
      <c r="U7" s="172" t="str">
        <f>HLOOKUP(PROVA!U8,GRIGLIA!$D$102:$H$108,6)</f>
        <v>sa individuare i concetti chiave ma non collegarli</v>
      </c>
      <c r="V7" s="173" t="str">
        <f>HLOOKUP(PROVA!V8,GRIGLIA!$D$102:$H$108,7)</f>
        <v>esprime giudizi in forma definitoria e senza argomentazioni</v>
      </c>
      <c r="W7" s="25"/>
      <c r="X7" s="7"/>
      <c r="Y7" s="7"/>
      <c r="Z7" s="8"/>
      <c r="AA7" s="7"/>
      <c r="AB7" s="1"/>
      <c r="AC7" s="7"/>
      <c r="AD7" s="7"/>
      <c r="AE7" s="7"/>
    </row>
    <row r="8" spans="1:31" ht="38.25">
      <c r="A8" s="145">
        <f>PROVA!A9</f>
        <v>0</v>
      </c>
      <c r="B8" s="146">
        <f>PROVA!B9</f>
        <v>0</v>
      </c>
      <c r="C8" s="146">
        <f>PROVA!C9</f>
        <v>0</v>
      </c>
      <c r="D8" s="169" t="str">
        <f>PROVA!D9</f>
        <v>studente5</v>
      </c>
      <c r="E8" s="170" t="str">
        <f>HLOOKUP(PROVA!E9,GRIGLIA!$D$102:$H$108,2)</f>
        <v>sempre scorretto o inadeguato</v>
      </c>
      <c r="F8" s="170" t="str">
        <f>HLOOKUP(PROVA!F9,GRIGLIA!$D$102:$H$108,3)</f>
        <v>sempre incoerente</v>
      </c>
      <c r="G8" s="170" t="str">
        <f>HLOOKUP(PROVA!G9,GRIGLIA!$D$102:$H$108,4)</f>
        <v>lacunoso e scorretto</v>
      </c>
      <c r="H8" s="170" t="str">
        <f>HLOOKUP(PROVA!H9,GRIGLIA!$D$102:$H$108,5)</f>
        <v>non sa individuare gli aspetti significativi del problema posto</v>
      </c>
      <c r="I8" s="170" t="str">
        <f>HLOOKUP(PROVA!I9,GRIGLIA!$D$102:$H$108,6)</f>
        <v>non sa individuare i concetti chiave</v>
      </c>
      <c r="J8" s="170" t="str">
        <f>HLOOKUP(PROVA!J9,GRIGLIA!$D$102:$H$108,7)</f>
        <v>non esprime giudizi personali</v>
      </c>
      <c r="K8" s="171" t="str">
        <f>HLOOKUP(PROVA!K9,GRIGLIA!$D$102:$H$108,2)</f>
        <v>sempre scorretto o inadeguato</v>
      </c>
      <c r="L8" s="171" t="str">
        <f>HLOOKUP(PROVA!L9,GRIGLIA!$D$102:$H$108,3)</f>
        <v>sempre incoerente</v>
      </c>
      <c r="M8" s="171" t="str">
        <f>HLOOKUP(PROVA!M9,GRIGLIA!$D$102:$H$108,4)</f>
        <v>lacunoso e scorretto</v>
      </c>
      <c r="N8" s="171" t="str">
        <f>HLOOKUP(PROVA!N9,GRIGLIA!$D$102:$H$108,5)</f>
        <v>non sa individuare gli aspetti significativi del problema posto</v>
      </c>
      <c r="O8" s="171" t="str">
        <f>HLOOKUP(PROVA!O9,GRIGLIA!$D$102:$H$108,6)</f>
        <v>non sa individuare i concetti chiave</v>
      </c>
      <c r="P8" s="171" t="str">
        <f>HLOOKUP(PROVA!P9,GRIGLIA!$D$102:$H$108,7)</f>
        <v>non esprime giudizi personali</v>
      </c>
      <c r="Q8" s="172" t="str">
        <f>HLOOKUP(PROVA!Q9,GRIGLIA!$D$102:$H$108,2)</f>
        <v>sempre scorretto o inadeguato</v>
      </c>
      <c r="R8" s="172" t="str">
        <f>HLOOKUP(PROVA!R9,GRIGLIA!$D$102:$H$108,3)</f>
        <v>sempre incoerente</v>
      </c>
      <c r="S8" s="172" t="str">
        <f>HLOOKUP(PROVA!S9,GRIGLIA!$D$102:$H$108,4)</f>
        <v>lacunoso e scorretto</v>
      </c>
      <c r="T8" s="172" t="str">
        <f>HLOOKUP(PROVA!T9,GRIGLIA!$D$102:$H$108,5)</f>
        <v>non sa individuare gli aspetti significativi del problema posto</v>
      </c>
      <c r="U8" s="172" t="str">
        <f>HLOOKUP(PROVA!U9,GRIGLIA!$D$102:$H$108,6)</f>
        <v>non sa individuare i concetti chiave</v>
      </c>
      <c r="V8" s="173" t="str">
        <f>HLOOKUP(PROVA!V9,GRIGLIA!$D$102:$H$108,7)</f>
        <v>non esprime giudizi personali</v>
      </c>
      <c r="W8" s="25"/>
      <c r="X8" s="7"/>
      <c r="Y8" s="7"/>
      <c r="Z8" s="8"/>
      <c r="AA8" s="7"/>
      <c r="AB8" s="1"/>
      <c r="AC8" s="7"/>
      <c r="AD8" s="7"/>
      <c r="AE8" s="7"/>
    </row>
    <row r="9" spans="1:31" ht="51">
      <c r="A9" s="145">
        <f>PROVA!A10</f>
        <v>4.5</v>
      </c>
      <c r="B9" s="146">
        <f>PROVA!B10</f>
        <v>7.5</v>
      </c>
      <c r="C9" s="146">
        <f>PROVA!C10</f>
        <v>16.5</v>
      </c>
      <c r="D9" s="169" t="str">
        <f>PROVA!D10</f>
        <v>studente6</v>
      </c>
      <c r="E9" s="170" t="str">
        <f>HLOOKUP(PROVA!E10,GRIGLIA!$D$102:$H$108,2)</f>
        <v>adeguato, ricco, fluido</v>
      </c>
      <c r="F9" s="170" t="str">
        <f>HLOOKUP(PROVA!F10,GRIGLIA!$D$102:$H$108,3)</f>
        <v>semplice ma coerente</v>
      </c>
      <c r="G9" s="170" t="str">
        <f>HLOOKUP(PROVA!G10,GRIGLIA!$D$102:$H$108,4)</f>
        <v>quasi sempre corretto, con alcune imprecisioni o lacune</v>
      </c>
      <c r="H9" s="170" t="str">
        <f>HLOOKUP(PROVA!H10,GRIGLIA!$D$102:$H$108,5)</f>
        <v>non sa analizzare gli aspetti significativi del problema posto</v>
      </c>
      <c r="I9" s="170" t="str">
        <f>HLOOKUP(PROVA!I10,GRIGLIA!$D$102:$H$108,6)</f>
        <v>non sa individuare i concetti chiave</v>
      </c>
      <c r="J9" s="170" t="str">
        <f>HLOOKUP(PROVA!J10,GRIGLIA!$D$102:$H$108,7)</f>
        <v>esprime giudizi adeguati e li argomenta efficacemente</v>
      </c>
      <c r="K9" s="171" t="str">
        <f>HLOOKUP(PROVA!K10,GRIGLIA!$D$102:$H$108,2)</f>
        <v>corretta e adeguato</v>
      </c>
      <c r="L9" s="171" t="str">
        <f>HLOOKUP(PROVA!L10,GRIGLIA!$D$102:$H$108,3)</f>
        <v>talvolta poco coerente</v>
      </c>
      <c r="M9" s="171" t="str">
        <f>HLOOKUP(PROVA!M10,GRIGLIA!$D$102:$H$108,4)</f>
        <v>solo parziale e non sempre corretto</v>
      </c>
      <c r="N9" s="171" t="str">
        <f>HLOOKUP(PROVA!N10,GRIGLIA!$D$102:$H$108,5)</f>
        <v>non sa individuare gli aspetti significativi del problema posto</v>
      </c>
      <c r="O9" s="171" t="str">
        <f>HLOOKUP(PROVA!O10,GRIGLIA!$D$102:$H$108,6)</f>
        <v>sa individuare concetti chiave e stabilire efficaci collegamenti</v>
      </c>
      <c r="P9" s="171" t="str">
        <f>HLOOKUP(PROVA!P10,GRIGLIA!$D$102:$H$108,7)</f>
        <v>esprime giudizi adeguati ma non sempre li argomenta efficacemente</v>
      </c>
      <c r="Q9" s="172" t="str">
        <f>HLOOKUP(PROVA!Q10,GRIGLIA!$D$102:$H$108,2)</f>
        <v>non sempre corretta e appropriato</v>
      </c>
      <c r="R9" s="172" t="str">
        <f>HLOOKUP(PROVA!R10,GRIGLIA!$D$102:$H$108,3)</f>
        <v>spesso incoerente</v>
      </c>
      <c r="S9" s="172" t="str">
        <f>HLOOKUP(PROVA!S10,GRIGLIA!$D$102:$H$108,4)</f>
        <v>lacunoso e scorretto</v>
      </c>
      <c r="T9" s="172" t="str">
        <f>HLOOKUP(PROVA!T10,GRIGLIA!$D$102:$H$108,5)</f>
        <v>non sa analizzare gli aspetti significativi del problema posto</v>
      </c>
      <c r="U9" s="172" t="str">
        <f>HLOOKUP(PROVA!U10,GRIGLIA!$D$102:$H$108,6)</f>
        <v>sa individuare i concetti chiave ma non collegarli</v>
      </c>
      <c r="V9" s="173" t="str">
        <f>HLOOKUP(PROVA!V10,GRIGLIA!$D$102:$H$108,7)</f>
        <v>esprime giudizi in forma definitoria e senza argomentazioni</v>
      </c>
      <c r="W9" s="25"/>
      <c r="X9" s="7"/>
      <c r="Y9" s="7"/>
      <c r="Z9" s="8"/>
      <c r="AA9" s="7"/>
      <c r="AB9" s="1"/>
      <c r="AC9" s="7"/>
      <c r="AD9" s="7"/>
      <c r="AE9" s="7"/>
    </row>
    <row r="10" spans="1:31" ht="51">
      <c r="A10" s="145">
        <f>PROVA!A11</f>
        <v>2.25</v>
      </c>
      <c r="B10" s="146">
        <f>PROVA!B11</f>
        <v>3.75</v>
      </c>
      <c r="C10" s="146">
        <f>PROVA!C11</f>
        <v>8.25</v>
      </c>
      <c r="D10" s="169" t="str">
        <f>PROVA!D11</f>
        <v>studente7</v>
      </c>
      <c r="E10" s="170" t="str">
        <f>HLOOKUP(PROVA!E11,GRIGLIA!$D$102:$H$108,2)</f>
        <v>spesso scorretto o   inadeguato</v>
      </c>
      <c r="F10" s="170" t="str">
        <f>HLOOKUP(PROVA!F11,GRIGLIA!$D$102:$H$108,3)</f>
        <v>spesso incoerente</v>
      </c>
      <c r="G10" s="170" t="str">
        <f>HLOOKUP(PROVA!G11,GRIGLIA!$D$102:$H$108,4)</f>
        <v>solo parziale e non sempre corretto</v>
      </c>
      <c r="H10" s="170" t="str">
        <f>HLOOKUP(PROVA!H11,GRIGLIA!$D$102:$H$108,5)</f>
        <v>non sa analizzare gli aspetti significativi del problema posto</v>
      </c>
      <c r="I10" s="170" t="str">
        <f>HLOOKUP(PROVA!I11,GRIGLIA!$D$102:$H$108,6)</f>
        <v>sa individuare i concetti chiave ma non collegarli</v>
      </c>
      <c r="J10" s="170" t="str">
        <f>HLOOKUP(PROVA!J11,GRIGLIA!$D$102:$H$108,7)</f>
        <v>esprime giudizi in forma definitoria e senza argomentazioni</v>
      </c>
      <c r="K10" s="171" t="str">
        <f>HLOOKUP(PROVA!K11,GRIGLIA!$D$102:$H$108,2)</f>
        <v>spesso scorretto o   inadeguato</v>
      </c>
      <c r="L10" s="171" t="str">
        <f>HLOOKUP(PROVA!L11,GRIGLIA!$D$102:$H$108,3)</f>
        <v>spesso incoerente</v>
      </c>
      <c r="M10" s="171" t="str">
        <f>HLOOKUP(PROVA!M11,GRIGLIA!$D$102:$H$108,4)</f>
        <v>solo parziale e non sempre corretto</v>
      </c>
      <c r="N10" s="171" t="str">
        <f>HLOOKUP(PROVA!N11,GRIGLIA!$D$102:$H$108,5)</f>
        <v>non sa analizzare gli aspetti significativi del problema posto</v>
      </c>
      <c r="O10" s="171" t="str">
        <f>HLOOKUP(PROVA!O11,GRIGLIA!$D$102:$H$108,6)</f>
        <v>sa individuare i concetti chiave ma non collegarli</v>
      </c>
      <c r="P10" s="171" t="str">
        <f>HLOOKUP(PROVA!P11,GRIGLIA!$D$102:$H$108,7)</f>
        <v>esprime giudizi in forma definitoria e senza argomentazioni</v>
      </c>
      <c r="Q10" s="172" t="str">
        <f>HLOOKUP(PROVA!Q11,GRIGLIA!$D$102:$H$108,2)</f>
        <v>spesso scorretto o   inadeguato</v>
      </c>
      <c r="R10" s="172" t="str">
        <f>HLOOKUP(PROVA!R11,GRIGLIA!$D$102:$H$108,3)</f>
        <v>spesso incoerente</v>
      </c>
      <c r="S10" s="172" t="str">
        <f>HLOOKUP(PROVA!S11,GRIGLIA!$D$102:$H$108,4)</f>
        <v>solo parziale e non sempre corretto</v>
      </c>
      <c r="T10" s="172" t="str">
        <f>HLOOKUP(PROVA!T11,GRIGLIA!$D$102:$H$108,5)</f>
        <v>non sa analizzare gli aspetti significativi del problema posto</v>
      </c>
      <c r="U10" s="172" t="str">
        <f>HLOOKUP(PROVA!U11,GRIGLIA!$D$102:$H$108,6)</f>
        <v>sa individuare i concetti chiave ma non collegarli</v>
      </c>
      <c r="V10" s="173" t="str">
        <f>HLOOKUP(PROVA!V11,GRIGLIA!$D$102:$H$108,7)</f>
        <v>esprime giudizi in forma definitoria e senza argomentazioni</v>
      </c>
      <c r="W10" s="25"/>
      <c r="X10" s="7"/>
      <c r="Y10" s="7"/>
      <c r="Z10" s="7"/>
      <c r="AA10" s="7"/>
      <c r="AB10" s="7"/>
      <c r="AC10" s="7"/>
      <c r="AD10" s="7"/>
      <c r="AE10" s="7"/>
    </row>
    <row r="11" spans="1:31" ht="63.75">
      <c r="A11" s="145">
        <f>PROVA!A12</f>
        <v>7.5</v>
      </c>
      <c r="B11" s="146">
        <f>PROVA!B12</f>
        <v>11.875</v>
      </c>
      <c r="C11" s="146">
        <f>PROVA!C12</f>
        <v>26.875</v>
      </c>
      <c r="D11" s="169" t="str">
        <f>PROVA!D12</f>
        <v>studente8</v>
      </c>
      <c r="E11" s="170" t="str">
        <f>HLOOKUP(PROVA!E12,GRIGLIA!$D$102:$H$108,2)</f>
        <v>adeguato, ricco, fluido</v>
      </c>
      <c r="F11" s="170" t="str">
        <f>HLOOKUP(PROVA!F12,GRIGLIA!$D$102:$H$108,3)</f>
        <v>adeguato, ricco, organico</v>
      </c>
      <c r="G11" s="170" t="str">
        <f>HLOOKUP(PROVA!G12,GRIGLIA!$D$102:$H$108,4)</f>
        <v>corretto ma limitato al manuale</v>
      </c>
      <c r="H11" s="170" t="str">
        <f>HLOOKUP(PROVA!H12,GRIGLIA!$D$102:$H$108,5)</f>
        <v>sa analizzare alcuni aspetti significativi del problema posto</v>
      </c>
      <c r="I11" s="170" t="str">
        <f>HLOOKUP(PROVA!I12,GRIGLIA!$D$102:$H$108,6)</f>
        <v>sa individuare i concetti chiave ma solo saltuariamente collegarli</v>
      </c>
      <c r="J11" s="170" t="str">
        <f>HLOOKUP(PROVA!J12,GRIGLIA!$D$102:$H$108,7)</f>
        <v>esprime giudizi non sempre adeguati al tema proposto, e li argomenta poco efficacemente</v>
      </c>
      <c r="K11" s="171" t="str">
        <f>HLOOKUP(PROVA!K12,GRIGLIA!$D$102:$H$108,2)</f>
        <v>adeguato, ricco, fluido</v>
      </c>
      <c r="L11" s="171" t="str">
        <f>HLOOKUP(PROVA!L12,GRIGLIA!$D$102:$H$108,3)</f>
        <v>adeguato, ricco, organico</v>
      </c>
      <c r="M11" s="171" t="str">
        <f>HLOOKUP(PROVA!M12,GRIGLIA!$D$102:$H$108,4)</f>
        <v>corretto ma limitato al manuale</v>
      </c>
      <c r="N11" s="171" t="str">
        <f>HLOOKUP(PROVA!N12,GRIGLIA!$D$102:$H$108,5)</f>
        <v>sa analizzare alcuni aspetti significativi del problema posto</v>
      </c>
      <c r="O11" s="171" t="str">
        <f>HLOOKUP(PROVA!O12,GRIGLIA!$D$102:$H$108,6)</f>
        <v>sa individuare i concetti chiave ma solo saltuariamente collegarli</v>
      </c>
      <c r="P11" s="171" t="str">
        <f>HLOOKUP(PROVA!P12,GRIGLIA!$D$102:$H$108,7)</f>
        <v>esprime giudizi non sempre adeguati al tema proposto, e li argomenta poco efficacemente</v>
      </c>
      <c r="Q11" s="172" t="str">
        <f>HLOOKUP(PROVA!Q12,GRIGLIA!$D$102:$H$108,2)</f>
        <v>adeguato, ricco, fluido</v>
      </c>
      <c r="R11" s="172" t="str">
        <f>HLOOKUP(PROVA!R12,GRIGLIA!$D$102:$H$108,3)</f>
        <v>adeguato, ricco, organico</v>
      </c>
      <c r="S11" s="172" t="str">
        <f>HLOOKUP(PROVA!S12,GRIGLIA!$D$102:$H$108,4)</f>
        <v>corretto ma limitato al manuale</v>
      </c>
      <c r="T11" s="172" t="str">
        <f>HLOOKUP(PROVA!T12,GRIGLIA!$D$102:$H$108,5)</f>
        <v>sa analizzare alcuni aspetti significativi del problema posto</v>
      </c>
      <c r="U11" s="172" t="str">
        <f>HLOOKUP(PROVA!U12,GRIGLIA!$D$102:$H$108,6)</f>
        <v>sa individuare i concetti chiave ma solo saltuariamente collegarli</v>
      </c>
      <c r="V11" s="173" t="str">
        <f>HLOOKUP(PROVA!V12,GRIGLIA!$D$102:$H$108,7)</f>
        <v>esprime giudizi non sempre adeguati al tema proposto, e li argomenta poco efficacemente</v>
      </c>
      <c r="W11" s="25"/>
      <c r="X11" s="7"/>
      <c r="Y11" s="7"/>
      <c r="Z11" s="9"/>
      <c r="AB11" s="9"/>
      <c r="AC11" s="7"/>
      <c r="AD11" s="7"/>
      <c r="AE11" s="7"/>
    </row>
    <row r="12" spans="1:31" ht="63.75">
      <c r="A12" s="145">
        <f>PROVA!A13</f>
        <v>5.75</v>
      </c>
      <c r="B12" s="146">
        <f>PROVA!B13</f>
        <v>9.583333333333334</v>
      </c>
      <c r="C12" s="146">
        <f>PROVA!C13</f>
        <v>21.083333333333332</v>
      </c>
      <c r="D12" s="169" t="str">
        <f>PROVA!D13</f>
        <v>studente9</v>
      </c>
      <c r="E12" s="170" t="str">
        <f>HLOOKUP(PROVA!E13,GRIGLIA!$D$102:$H$108,2)</f>
        <v>spesso scorretto o   inadeguato</v>
      </c>
      <c r="F12" s="170" t="str">
        <f>HLOOKUP(PROVA!F13,GRIGLIA!$D$102:$H$108,3)</f>
        <v>spesso incoerente</v>
      </c>
      <c r="G12" s="170" t="str">
        <f>HLOOKUP(PROVA!G13,GRIGLIA!$D$102:$H$108,4)</f>
        <v>solo parziale e non sempre corretto</v>
      </c>
      <c r="H12" s="170" t="str">
        <f>HLOOKUP(PROVA!H13,GRIGLIA!$D$102:$H$108,5)</f>
        <v>non sa analizzare gli aspetti significativi del problema posto</v>
      </c>
      <c r="I12" s="170" t="str">
        <f>HLOOKUP(PROVA!I13,GRIGLIA!$D$102:$H$108,6)</f>
        <v>sa individuare i concetti chiave ma non collegarli</v>
      </c>
      <c r="J12" s="170" t="str">
        <f>HLOOKUP(PROVA!J13,GRIGLIA!$D$102:$H$108,7)</f>
        <v>esprime giudizi in forma definitoria e senza argomentazioni</v>
      </c>
      <c r="K12" s="171" t="str">
        <f>HLOOKUP(PROVA!K13,GRIGLIA!$D$102:$H$108,2)</f>
        <v>adeguato, ricco, fluido</v>
      </c>
      <c r="L12" s="171" t="str">
        <f>HLOOKUP(PROVA!L13,GRIGLIA!$D$102:$H$108,3)</f>
        <v>adeguato, ricco, organico</v>
      </c>
      <c r="M12" s="171" t="str">
        <f>HLOOKUP(PROVA!M13,GRIGLIA!$D$102:$H$108,4)</f>
        <v>corretto ma limitato al manuale</v>
      </c>
      <c r="N12" s="171" t="str">
        <f>HLOOKUP(PROVA!N13,GRIGLIA!$D$102:$H$108,5)</f>
        <v>sa analizzare alcuni aspetti significativi del problema posto</v>
      </c>
      <c r="O12" s="171" t="str">
        <f>HLOOKUP(PROVA!O13,GRIGLIA!$D$102:$H$108,6)</f>
        <v>sa individuare i concetti chiave ma solo saltuariamente collegarli</v>
      </c>
      <c r="P12" s="171" t="str">
        <f>HLOOKUP(PROVA!P13,GRIGLIA!$D$102:$H$108,7)</f>
        <v>esprime giudizi non sempre adeguati al tema proposto, e li argomenta poco efficacemente</v>
      </c>
      <c r="Q12" s="172" t="str">
        <f>HLOOKUP(PROVA!Q13,GRIGLIA!$D$102:$H$108,2)</f>
        <v>adeguato, ricco, fluido</v>
      </c>
      <c r="R12" s="172" t="str">
        <f>HLOOKUP(PROVA!R13,GRIGLIA!$D$102:$H$108,3)</f>
        <v>adeguato, ricco, organico</v>
      </c>
      <c r="S12" s="172" t="str">
        <f>HLOOKUP(PROVA!S13,GRIGLIA!$D$102:$H$108,4)</f>
        <v>corretto ma limitato al manuale</v>
      </c>
      <c r="T12" s="172" t="str">
        <f>HLOOKUP(PROVA!T13,GRIGLIA!$D$102:$H$108,5)</f>
        <v>sa analizzare alcuni aspetti significativi del problema posto</v>
      </c>
      <c r="U12" s="172" t="str">
        <f>HLOOKUP(PROVA!U13,GRIGLIA!$D$102:$H$108,6)</f>
        <v>sa individuare i concetti chiave ma solo saltuariamente collegarli</v>
      </c>
      <c r="V12" s="173" t="str">
        <f>HLOOKUP(PROVA!V13,GRIGLIA!$D$102:$H$108,7)</f>
        <v>esprime giudizi non sempre adeguati al tema proposto, e li argomenta poco efficacemente</v>
      </c>
      <c r="W12" s="25"/>
      <c r="X12" s="7"/>
      <c r="Y12" s="7"/>
      <c r="Z12" s="10"/>
      <c r="AA12" s="7"/>
      <c r="AB12" s="21"/>
      <c r="AD12" s="7"/>
      <c r="AE12" s="7"/>
    </row>
    <row r="13" spans="1:31" ht="63.75">
      <c r="A13" s="145">
        <f>PROVA!A14</f>
        <v>5.75</v>
      </c>
      <c r="B13" s="146">
        <f>PROVA!B14</f>
        <v>9.583333333333334</v>
      </c>
      <c r="C13" s="146">
        <f>PROVA!C14</f>
        <v>21.083333333333332</v>
      </c>
      <c r="D13" s="169" t="str">
        <f>PROVA!D14</f>
        <v>studente10</v>
      </c>
      <c r="E13" s="170" t="str">
        <f>HLOOKUP(PROVA!E14,GRIGLIA!$D$102:$H$108,2)</f>
        <v>spesso scorretto o   inadeguato</v>
      </c>
      <c r="F13" s="170" t="str">
        <f>HLOOKUP(PROVA!F14,GRIGLIA!$D$102:$H$108,3)</f>
        <v>spesso incoerente</v>
      </c>
      <c r="G13" s="170" t="str">
        <f>HLOOKUP(PROVA!G14,GRIGLIA!$D$102:$H$108,4)</f>
        <v>solo parziale e non sempre corretto</v>
      </c>
      <c r="H13" s="170" t="str">
        <f>HLOOKUP(PROVA!H14,GRIGLIA!$D$102:$H$108,5)</f>
        <v>non sa analizzare gli aspetti significativi del problema posto</v>
      </c>
      <c r="I13" s="170" t="str">
        <f>HLOOKUP(PROVA!I14,GRIGLIA!$D$102:$H$108,6)</f>
        <v>sa individuare i concetti chiave ma non collegarli</v>
      </c>
      <c r="J13" s="170" t="str">
        <f>HLOOKUP(PROVA!J14,GRIGLIA!$D$102:$H$108,7)</f>
        <v>esprime giudizi in forma definitoria e senza argomentazioni</v>
      </c>
      <c r="K13" s="171" t="str">
        <f>HLOOKUP(PROVA!K14,GRIGLIA!$D$102:$H$108,2)</f>
        <v>adeguato, ricco, fluido</v>
      </c>
      <c r="L13" s="171" t="str">
        <f>HLOOKUP(PROVA!L14,GRIGLIA!$D$102:$H$108,3)</f>
        <v>adeguato, ricco, organico</v>
      </c>
      <c r="M13" s="171" t="str">
        <f>HLOOKUP(PROVA!M14,GRIGLIA!$D$102:$H$108,4)</f>
        <v>corretto ma limitato al manuale</v>
      </c>
      <c r="N13" s="171" t="str">
        <f>HLOOKUP(PROVA!N14,GRIGLIA!$D$102:$H$108,5)</f>
        <v>sa analizzare alcuni aspetti significativi del problema posto</v>
      </c>
      <c r="O13" s="171" t="str">
        <f>HLOOKUP(PROVA!O14,GRIGLIA!$D$102:$H$108,6)</f>
        <v>sa individuare i concetti chiave ma solo saltuariamente collegarli</v>
      </c>
      <c r="P13" s="171" t="str">
        <f>HLOOKUP(PROVA!P14,GRIGLIA!$D$102:$H$108,7)</f>
        <v>esprime giudizi non sempre adeguati al tema proposto, e li argomenta poco efficacemente</v>
      </c>
      <c r="Q13" s="172" t="str">
        <f>HLOOKUP(PROVA!Q14,GRIGLIA!$D$102:$H$108,2)</f>
        <v>adeguato, ricco, fluido</v>
      </c>
      <c r="R13" s="172" t="str">
        <f>HLOOKUP(PROVA!R14,GRIGLIA!$D$102:$H$108,3)</f>
        <v>adeguato, ricco, organico</v>
      </c>
      <c r="S13" s="172" t="str">
        <f>HLOOKUP(PROVA!S14,GRIGLIA!$D$102:$H$108,4)</f>
        <v>corretto ma limitato al manuale</v>
      </c>
      <c r="T13" s="172" t="str">
        <f>HLOOKUP(PROVA!T14,GRIGLIA!$D$102:$H$108,5)</f>
        <v>sa analizzare alcuni aspetti significativi del problema posto</v>
      </c>
      <c r="U13" s="172" t="str">
        <f>HLOOKUP(PROVA!U14,GRIGLIA!$D$102:$H$108,6)</f>
        <v>sa individuare i concetti chiave ma solo saltuariamente collegarli</v>
      </c>
      <c r="V13" s="173" t="str">
        <f>HLOOKUP(PROVA!V14,GRIGLIA!$D$102:$H$108,7)</f>
        <v>esprime giudizi non sempre adeguati al tema proposto, e li argomenta poco efficacemente</v>
      </c>
      <c r="W13" s="25"/>
      <c r="X13" s="7"/>
      <c r="Y13" s="7"/>
      <c r="Z13" s="10"/>
      <c r="AA13" s="7"/>
      <c r="AB13" s="7"/>
      <c r="AC13" s="7"/>
      <c r="AD13" s="7"/>
      <c r="AE13" s="7"/>
    </row>
    <row r="14" spans="1:31" ht="63.75">
      <c r="A14" s="145">
        <f>PROVA!A15</f>
        <v>5.75</v>
      </c>
      <c r="B14" s="146">
        <f>PROVA!B15</f>
        <v>9.583333333333334</v>
      </c>
      <c r="C14" s="146">
        <f>PROVA!C15</f>
        <v>21.083333333333332</v>
      </c>
      <c r="D14" s="169" t="str">
        <f>PROVA!D15</f>
        <v>studente11</v>
      </c>
      <c r="E14" s="170" t="str">
        <f>HLOOKUP(PROVA!E15,GRIGLIA!$D$102:$H$108,2)</f>
        <v>spesso scorretto o   inadeguato</v>
      </c>
      <c r="F14" s="170" t="str">
        <f>HLOOKUP(PROVA!F15,GRIGLIA!$D$102:$H$108,3)</f>
        <v>spesso incoerente</v>
      </c>
      <c r="G14" s="170" t="str">
        <f>HLOOKUP(PROVA!G15,GRIGLIA!$D$102:$H$108,4)</f>
        <v>solo parziale e non sempre corretto</v>
      </c>
      <c r="H14" s="170" t="str">
        <f>HLOOKUP(PROVA!H15,GRIGLIA!$D$102:$H$108,5)</f>
        <v>non sa analizzare gli aspetti significativi del problema posto</v>
      </c>
      <c r="I14" s="170" t="str">
        <f>HLOOKUP(PROVA!I15,GRIGLIA!$D$102:$H$108,6)</f>
        <v>sa individuare i concetti chiave ma non collegarli</v>
      </c>
      <c r="J14" s="170" t="str">
        <f>HLOOKUP(PROVA!J15,GRIGLIA!$D$102:$H$108,7)</f>
        <v>esprime giudizi in forma definitoria e senza argomentazioni</v>
      </c>
      <c r="K14" s="171" t="str">
        <f>HLOOKUP(PROVA!K15,GRIGLIA!$D$102:$H$108,2)</f>
        <v>adeguato, ricco, fluido</v>
      </c>
      <c r="L14" s="171" t="str">
        <f>HLOOKUP(PROVA!L15,GRIGLIA!$D$102:$H$108,3)</f>
        <v>adeguato, ricco, organico</v>
      </c>
      <c r="M14" s="171" t="str">
        <f>HLOOKUP(PROVA!M15,GRIGLIA!$D$102:$H$108,4)</f>
        <v>corretto ma limitato al manuale</v>
      </c>
      <c r="N14" s="171" t="str">
        <f>HLOOKUP(PROVA!N15,GRIGLIA!$D$102:$H$108,5)</f>
        <v>sa analizzare alcuni aspetti significativi del problema posto</v>
      </c>
      <c r="O14" s="171" t="str">
        <f>HLOOKUP(PROVA!O15,GRIGLIA!$D$102:$H$108,6)</f>
        <v>sa individuare i concetti chiave ma solo saltuariamente collegarli</v>
      </c>
      <c r="P14" s="171" t="str">
        <f>HLOOKUP(PROVA!P15,GRIGLIA!$D$102:$H$108,7)</f>
        <v>esprime giudizi non sempre adeguati al tema proposto, e li argomenta poco efficacemente</v>
      </c>
      <c r="Q14" s="172" t="str">
        <f>HLOOKUP(PROVA!Q15,GRIGLIA!$D$102:$H$108,2)</f>
        <v>adeguato, ricco, fluido</v>
      </c>
      <c r="R14" s="172" t="str">
        <f>HLOOKUP(PROVA!R15,GRIGLIA!$D$102:$H$108,3)</f>
        <v>adeguato, ricco, organico</v>
      </c>
      <c r="S14" s="172" t="str">
        <f>HLOOKUP(PROVA!S15,GRIGLIA!$D$102:$H$108,4)</f>
        <v>corretto ma limitato al manuale</v>
      </c>
      <c r="T14" s="172" t="str">
        <f>HLOOKUP(PROVA!T15,GRIGLIA!$D$102:$H$108,5)</f>
        <v>sa analizzare alcuni aspetti significativi del problema posto</v>
      </c>
      <c r="U14" s="172" t="str">
        <f>HLOOKUP(PROVA!U15,GRIGLIA!$D$102:$H$108,6)</f>
        <v>sa individuare i concetti chiave ma solo saltuariamente collegarli</v>
      </c>
      <c r="V14" s="173" t="str">
        <f>HLOOKUP(PROVA!V15,GRIGLIA!$D$102:$H$108,7)</f>
        <v>esprime giudizi non sempre adeguati al tema proposto, e li argomenta poco efficacemente</v>
      </c>
      <c r="W14" s="25"/>
      <c r="X14" s="7"/>
      <c r="Y14" s="7"/>
      <c r="Z14" s="10"/>
      <c r="AA14" s="7"/>
      <c r="AB14" s="7"/>
      <c r="AC14" s="7"/>
      <c r="AD14" s="7"/>
      <c r="AE14" s="7"/>
    </row>
    <row r="15" spans="1:31" ht="63.75">
      <c r="A15" s="145">
        <f>PROVA!A16</f>
        <v>5.75</v>
      </c>
      <c r="B15" s="146">
        <f>PROVA!B16</f>
        <v>9.583333333333334</v>
      </c>
      <c r="C15" s="146">
        <f>PROVA!C16</f>
        <v>21.083333333333332</v>
      </c>
      <c r="D15" s="169" t="str">
        <f>PROVA!D16</f>
        <v>studente12</v>
      </c>
      <c r="E15" s="170" t="str">
        <f>HLOOKUP(PROVA!E16,GRIGLIA!$D$102:$H$108,2)</f>
        <v>spesso scorretto o   inadeguato</v>
      </c>
      <c r="F15" s="170" t="str">
        <f>HLOOKUP(PROVA!F16,GRIGLIA!$D$102:$H$108,3)</f>
        <v>spesso incoerente</v>
      </c>
      <c r="G15" s="170" t="str">
        <f>HLOOKUP(PROVA!G16,GRIGLIA!$D$102:$H$108,4)</f>
        <v>solo parziale e non sempre corretto</v>
      </c>
      <c r="H15" s="170" t="str">
        <f>HLOOKUP(PROVA!H16,GRIGLIA!$D$102:$H$108,5)</f>
        <v>non sa analizzare gli aspetti significativi del problema posto</v>
      </c>
      <c r="I15" s="170" t="str">
        <f>HLOOKUP(PROVA!I16,GRIGLIA!$D$102:$H$108,6)</f>
        <v>sa individuare i concetti chiave ma non collegarli</v>
      </c>
      <c r="J15" s="170" t="str">
        <f>HLOOKUP(PROVA!J16,GRIGLIA!$D$102:$H$108,7)</f>
        <v>esprime giudizi in forma definitoria e senza argomentazioni</v>
      </c>
      <c r="K15" s="171" t="str">
        <f>HLOOKUP(PROVA!K16,GRIGLIA!$D$102:$H$108,2)</f>
        <v>adeguato, ricco, fluido</v>
      </c>
      <c r="L15" s="171" t="str">
        <f>HLOOKUP(PROVA!L16,GRIGLIA!$D$102:$H$108,3)</f>
        <v>adeguato, ricco, organico</v>
      </c>
      <c r="M15" s="171" t="str">
        <f>HLOOKUP(PROVA!M16,GRIGLIA!$D$102:$H$108,4)</f>
        <v>corretto ma limitato al manuale</v>
      </c>
      <c r="N15" s="171" t="str">
        <f>HLOOKUP(PROVA!N16,GRIGLIA!$D$102:$H$108,5)</f>
        <v>sa analizzare alcuni aspetti significativi del problema posto</v>
      </c>
      <c r="O15" s="171" t="str">
        <f>HLOOKUP(PROVA!O16,GRIGLIA!$D$102:$H$108,6)</f>
        <v>sa individuare i concetti chiave ma solo saltuariamente collegarli</v>
      </c>
      <c r="P15" s="171" t="str">
        <f>HLOOKUP(PROVA!P16,GRIGLIA!$D$102:$H$108,7)</f>
        <v>esprime giudizi non sempre adeguati al tema proposto, e li argomenta poco efficacemente</v>
      </c>
      <c r="Q15" s="172" t="str">
        <f>HLOOKUP(PROVA!Q16,GRIGLIA!$D$102:$H$108,2)</f>
        <v>adeguato, ricco, fluido</v>
      </c>
      <c r="R15" s="172" t="str">
        <f>HLOOKUP(PROVA!R16,GRIGLIA!$D$102:$H$108,3)</f>
        <v>adeguato, ricco, organico</v>
      </c>
      <c r="S15" s="172" t="str">
        <f>HLOOKUP(PROVA!S16,GRIGLIA!$D$102:$H$108,4)</f>
        <v>corretto ma limitato al manuale</v>
      </c>
      <c r="T15" s="172" t="str">
        <f>HLOOKUP(PROVA!T16,GRIGLIA!$D$102:$H$108,5)</f>
        <v>sa analizzare alcuni aspetti significativi del problema posto</v>
      </c>
      <c r="U15" s="172" t="str">
        <f>HLOOKUP(PROVA!U16,GRIGLIA!$D$102:$H$108,6)</f>
        <v>sa individuare i concetti chiave ma solo saltuariamente collegarli</v>
      </c>
      <c r="V15" s="173" t="str">
        <f>HLOOKUP(PROVA!V16,GRIGLIA!$D$102:$H$108,7)</f>
        <v>esprime giudizi non sempre adeguati al tema proposto, e li argomenta poco efficacemente</v>
      </c>
      <c r="W15" s="25"/>
      <c r="X15" s="7"/>
      <c r="Y15" s="7"/>
      <c r="Z15" s="10"/>
      <c r="AA15" s="7"/>
      <c r="AB15" s="7"/>
      <c r="AC15" s="7"/>
      <c r="AD15" s="7"/>
      <c r="AE15" s="7"/>
    </row>
    <row r="16" spans="1:31" ht="63.75">
      <c r="A16" s="145">
        <f>PROVA!A17</f>
        <v>5.75</v>
      </c>
      <c r="B16" s="146">
        <f>PROVA!B17</f>
        <v>9.583333333333334</v>
      </c>
      <c r="C16" s="146">
        <f>PROVA!C17</f>
        <v>21.083333333333332</v>
      </c>
      <c r="D16" s="169" t="str">
        <f>PROVA!D17</f>
        <v>studente13</v>
      </c>
      <c r="E16" s="170" t="str">
        <f>HLOOKUP(PROVA!E17,GRIGLIA!$D$102:$H$108,2)</f>
        <v>spesso scorretto o   inadeguato</v>
      </c>
      <c r="F16" s="170" t="str">
        <f>HLOOKUP(PROVA!F17,GRIGLIA!$D$102:$H$108,3)</f>
        <v>spesso incoerente</v>
      </c>
      <c r="G16" s="170" t="str">
        <f>HLOOKUP(PROVA!G17,GRIGLIA!$D$102:$H$108,4)</f>
        <v>solo parziale e non sempre corretto</v>
      </c>
      <c r="H16" s="170" t="str">
        <f>HLOOKUP(PROVA!H17,GRIGLIA!$D$102:$H$108,5)</f>
        <v>non sa analizzare gli aspetti significativi del problema posto</v>
      </c>
      <c r="I16" s="170" t="str">
        <f>HLOOKUP(PROVA!I17,GRIGLIA!$D$102:$H$108,6)</f>
        <v>sa individuare i concetti chiave ma non collegarli</v>
      </c>
      <c r="J16" s="170" t="str">
        <f>HLOOKUP(PROVA!J17,GRIGLIA!$D$102:$H$108,7)</f>
        <v>esprime giudizi in forma definitoria e senza argomentazioni</v>
      </c>
      <c r="K16" s="171" t="str">
        <f>HLOOKUP(PROVA!K17,GRIGLIA!$D$102:$H$108,2)</f>
        <v>adeguato, ricco, fluido</v>
      </c>
      <c r="L16" s="171" t="str">
        <f>HLOOKUP(PROVA!L17,GRIGLIA!$D$102:$H$108,3)</f>
        <v>adeguato, ricco, organico</v>
      </c>
      <c r="M16" s="171" t="str">
        <f>HLOOKUP(PROVA!M17,GRIGLIA!$D$102:$H$108,4)</f>
        <v>corretto ma limitato al manuale</v>
      </c>
      <c r="N16" s="171" t="str">
        <f>HLOOKUP(PROVA!N17,GRIGLIA!$D$102:$H$108,5)</f>
        <v>sa analizzare alcuni aspetti significativi del problema posto</v>
      </c>
      <c r="O16" s="171" t="str">
        <f>HLOOKUP(PROVA!O17,GRIGLIA!$D$102:$H$108,6)</f>
        <v>sa individuare i concetti chiave ma solo saltuariamente collegarli</v>
      </c>
      <c r="P16" s="171" t="str">
        <f>HLOOKUP(PROVA!P17,GRIGLIA!$D$102:$H$108,7)</f>
        <v>esprime giudizi non sempre adeguati al tema proposto, e li argomenta poco efficacemente</v>
      </c>
      <c r="Q16" s="172" t="str">
        <f>HLOOKUP(PROVA!Q17,GRIGLIA!$D$102:$H$108,2)</f>
        <v>adeguato, ricco, fluido</v>
      </c>
      <c r="R16" s="172" t="str">
        <f>HLOOKUP(PROVA!R17,GRIGLIA!$D$102:$H$108,3)</f>
        <v>adeguato, ricco, organico</v>
      </c>
      <c r="S16" s="172" t="str">
        <f>HLOOKUP(PROVA!S17,GRIGLIA!$D$102:$H$108,4)</f>
        <v>corretto ma limitato al manuale</v>
      </c>
      <c r="T16" s="172" t="str">
        <f>HLOOKUP(PROVA!T17,GRIGLIA!$D$102:$H$108,5)</f>
        <v>sa analizzare alcuni aspetti significativi del problema posto</v>
      </c>
      <c r="U16" s="172" t="str">
        <f>HLOOKUP(PROVA!U17,GRIGLIA!$D$102:$H$108,6)</f>
        <v>sa individuare i concetti chiave ma solo saltuariamente collegarli</v>
      </c>
      <c r="V16" s="173" t="str">
        <f>HLOOKUP(PROVA!V17,GRIGLIA!$D$102:$H$108,7)</f>
        <v>esprime giudizi non sempre adeguati al tema proposto, e li argomenta poco efficacemente</v>
      </c>
      <c r="W16" s="25"/>
      <c r="X16" s="7"/>
      <c r="Y16" s="7"/>
      <c r="Z16" s="10"/>
      <c r="AA16" s="7"/>
      <c r="AB16" s="7"/>
      <c r="AC16" s="7"/>
      <c r="AD16" s="7"/>
      <c r="AE16" s="7"/>
    </row>
    <row r="17" spans="1:31" ht="63.75">
      <c r="A17" s="145">
        <f>PROVA!A18</f>
        <v>6.25</v>
      </c>
      <c r="B17" s="146">
        <f>PROVA!B18</f>
        <v>10.3125</v>
      </c>
      <c r="C17" s="146">
        <f>PROVA!C18</f>
        <v>22.8125</v>
      </c>
      <c r="D17" s="169" t="str">
        <f>PROVA!D18</f>
        <v>studente14</v>
      </c>
      <c r="E17" s="170" t="str">
        <f>HLOOKUP(PROVA!E18,GRIGLIA!$D$102:$H$108,2)</f>
        <v>adeguato, ricco, fluido</v>
      </c>
      <c r="F17" s="170" t="str">
        <f>HLOOKUP(PROVA!F18,GRIGLIA!$D$102:$H$108,3)</f>
        <v>spesso incoerente</v>
      </c>
      <c r="G17" s="170" t="str">
        <f>HLOOKUP(PROVA!G18,GRIGLIA!$D$102:$H$108,4)</f>
        <v>solo parziale e non sempre corretto</v>
      </c>
      <c r="H17" s="170" t="str">
        <f>HLOOKUP(PROVA!H18,GRIGLIA!$D$102:$H$108,5)</f>
        <v>non sa analizzare gli aspetti significativi del problema posto</v>
      </c>
      <c r="I17" s="170" t="str">
        <f>HLOOKUP(PROVA!I18,GRIGLIA!$D$102:$H$108,6)</f>
        <v>sa individuare i concetti chiave ma non collegarli</v>
      </c>
      <c r="J17" s="170" t="str">
        <f>HLOOKUP(PROVA!J18,GRIGLIA!$D$102:$H$108,7)</f>
        <v>esprime giudizi in forma definitoria e senza argomentazioni</v>
      </c>
      <c r="K17" s="171" t="str">
        <f>HLOOKUP(PROVA!K18,GRIGLIA!$D$102:$H$108,2)</f>
        <v>adeguato, ricco, fluido</v>
      </c>
      <c r="L17" s="171" t="str">
        <f>HLOOKUP(PROVA!L18,GRIGLIA!$D$102:$H$108,3)</f>
        <v>adeguato, ricco, organico</v>
      </c>
      <c r="M17" s="171" t="str">
        <f>HLOOKUP(PROVA!M18,GRIGLIA!$D$102:$H$108,4)</f>
        <v>corretto ma limitato al manuale</v>
      </c>
      <c r="N17" s="171" t="str">
        <f>HLOOKUP(PROVA!N18,GRIGLIA!$D$102:$H$108,5)</f>
        <v>sa analizzare alcuni aspetti significativi del problema posto</v>
      </c>
      <c r="O17" s="171" t="str">
        <f>HLOOKUP(PROVA!O18,GRIGLIA!$D$102:$H$108,6)</f>
        <v>sa individuare i concetti chiave ma solo saltuariamente collegarli</v>
      </c>
      <c r="P17" s="171" t="str">
        <f>HLOOKUP(PROVA!P18,GRIGLIA!$D$102:$H$108,7)</f>
        <v>esprime giudizi non sempre adeguati al tema proposto, e li argomenta poco efficacemente</v>
      </c>
      <c r="Q17" s="172" t="str">
        <f>HLOOKUP(PROVA!Q18,GRIGLIA!$D$102:$H$108,2)</f>
        <v>adeguato, ricco, fluido</v>
      </c>
      <c r="R17" s="172" t="str">
        <f>HLOOKUP(PROVA!R18,GRIGLIA!$D$102:$H$108,3)</f>
        <v>adeguato, ricco, organico</v>
      </c>
      <c r="S17" s="172" t="str">
        <f>HLOOKUP(PROVA!S18,GRIGLIA!$D$102:$H$108,4)</f>
        <v>corretto ma limitato al manuale</v>
      </c>
      <c r="T17" s="172" t="str">
        <f>HLOOKUP(PROVA!T18,GRIGLIA!$D$102:$H$108,5)</f>
        <v>sa analizzare alcuni aspetti significativi del problema posto</v>
      </c>
      <c r="U17" s="172" t="str">
        <f>HLOOKUP(PROVA!U18,GRIGLIA!$D$102:$H$108,6)</f>
        <v>sa individuare i concetti chiave ma solo saltuariamente collegarli</v>
      </c>
      <c r="V17" s="173" t="str">
        <f>HLOOKUP(PROVA!V18,GRIGLIA!$D$102:$H$108,7)</f>
        <v>esprime giudizi non sempre adeguati al tema proposto, e li argomenta poco efficacemente</v>
      </c>
      <c r="W17" s="25"/>
      <c r="X17" s="7"/>
      <c r="Y17" s="7"/>
      <c r="Z17" s="10"/>
      <c r="AA17" s="7"/>
      <c r="AB17" s="7"/>
      <c r="AC17" s="7"/>
      <c r="AD17" s="7"/>
      <c r="AE17" s="7"/>
    </row>
    <row r="18" spans="1:31" ht="63.75">
      <c r="A18" s="145">
        <f>PROVA!A19</f>
        <v>5.75</v>
      </c>
      <c r="B18" s="146">
        <f>PROVA!B19</f>
        <v>9.583333333333334</v>
      </c>
      <c r="C18" s="146">
        <f>PROVA!C19</f>
        <v>21.083333333333332</v>
      </c>
      <c r="D18" s="169" t="str">
        <f>PROVA!D19</f>
        <v>studente15</v>
      </c>
      <c r="E18" s="170" t="str">
        <f>HLOOKUP(PROVA!E19,GRIGLIA!$D$102:$H$108,2)</f>
        <v>spesso scorretto o   inadeguato</v>
      </c>
      <c r="F18" s="170" t="str">
        <f>HLOOKUP(PROVA!F19,GRIGLIA!$D$102:$H$108,3)</f>
        <v>spesso incoerente</v>
      </c>
      <c r="G18" s="170" t="str">
        <f>HLOOKUP(PROVA!G19,GRIGLIA!$D$102:$H$108,4)</f>
        <v>solo parziale e non sempre corretto</v>
      </c>
      <c r="H18" s="170" t="str">
        <f>HLOOKUP(PROVA!H19,GRIGLIA!$D$102:$H$108,5)</f>
        <v>non sa analizzare gli aspetti significativi del problema posto</v>
      </c>
      <c r="I18" s="170" t="str">
        <f>HLOOKUP(PROVA!I19,GRIGLIA!$D$102:$H$108,6)</f>
        <v>sa individuare i concetti chiave ma non collegarli</v>
      </c>
      <c r="J18" s="170" t="str">
        <f>HLOOKUP(PROVA!J19,GRIGLIA!$D$102:$H$108,7)</f>
        <v>esprime giudizi in forma definitoria e senza argomentazioni</v>
      </c>
      <c r="K18" s="171" t="str">
        <f>HLOOKUP(PROVA!K19,GRIGLIA!$D$102:$H$108,2)</f>
        <v>adeguato, ricco, fluido</v>
      </c>
      <c r="L18" s="171" t="str">
        <f>HLOOKUP(PROVA!L19,GRIGLIA!$D$102:$H$108,3)</f>
        <v>adeguato, ricco, organico</v>
      </c>
      <c r="M18" s="171" t="str">
        <f>HLOOKUP(PROVA!M19,GRIGLIA!$D$102:$H$108,4)</f>
        <v>corretto ma limitato al manuale</v>
      </c>
      <c r="N18" s="171" t="str">
        <f>HLOOKUP(PROVA!N19,GRIGLIA!$D$102:$H$108,5)</f>
        <v>sa analizzare alcuni aspetti significativi del problema posto</v>
      </c>
      <c r="O18" s="171" t="str">
        <f>HLOOKUP(PROVA!O19,GRIGLIA!$D$102:$H$108,6)</f>
        <v>sa individuare i concetti chiave ma solo saltuariamente collegarli</v>
      </c>
      <c r="P18" s="171" t="str">
        <f>HLOOKUP(PROVA!P19,GRIGLIA!$D$102:$H$108,7)</f>
        <v>esprime giudizi non sempre adeguati al tema proposto, e li argomenta poco efficacemente</v>
      </c>
      <c r="Q18" s="172" t="str">
        <f>HLOOKUP(PROVA!Q19,GRIGLIA!$D$102:$H$108,2)</f>
        <v>adeguato, ricco, fluido</v>
      </c>
      <c r="R18" s="172" t="str">
        <f>HLOOKUP(PROVA!R19,GRIGLIA!$D$102:$H$108,3)</f>
        <v>adeguato, ricco, organico</v>
      </c>
      <c r="S18" s="172" t="str">
        <f>HLOOKUP(PROVA!S19,GRIGLIA!$D$102:$H$108,4)</f>
        <v>corretto ma limitato al manuale</v>
      </c>
      <c r="T18" s="172" t="str">
        <f>HLOOKUP(PROVA!T19,GRIGLIA!$D$102:$H$108,5)</f>
        <v>sa analizzare alcuni aspetti significativi del problema posto</v>
      </c>
      <c r="U18" s="172" t="str">
        <f>HLOOKUP(PROVA!U19,GRIGLIA!$D$102:$H$108,6)</f>
        <v>sa individuare i concetti chiave ma solo saltuariamente collegarli</v>
      </c>
      <c r="V18" s="173" t="str">
        <f>HLOOKUP(PROVA!V19,GRIGLIA!$D$102:$H$108,7)</f>
        <v>esprime giudizi non sempre adeguati al tema proposto, e li argomenta poco efficacemente</v>
      </c>
      <c r="W18" s="25"/>
      <c r="X18" s="7"/>
      <c r="Y18" s="7"/>
      <c r="Z18" s="10"/>
      <c r="AA18" s="7"/>
      <c r="AB18" s="7"/>
      <c r="AC18" s="7"/>
      <c r="AD18" s="7"/>
      <c r="AE18" s="7"/>
    </row>
    <row r="19" spans="1:31" ht="63.75">
      <c r="A19" s="145">
        <f>PROVA!A20</f>
        <v>5.75</v>
      </c>
      <c r="B19" s="146">
        <f>PROVA!B20</f>
        <v>9.583333333333334</v>
      </c>
      <c r="C19" s="146">
        <f>PROVA!C20</f>
        <v>21.083333333333332</v>
      </c>
      <c r="D19" s="169" t="str">
        <f>PROVA!D20</f>
        <v>studente16</v>
      </c>
      <c r="E19" s="170" t="str">
        <f>HLOOKUP(PROVA!E20,GRIGLIA!$D$102:$H$108,2)</f>
        <v>spesso scorretto o   inadeguato</v>
      </c>
      <c r="F19" s="170" t="str">
        <f>HLOOKUP(PROVA!F20,GRIGLIA!$D$102:$H$108,3)</f>
        <v>spesso incoerente</v>
      </c>
      <c r="G19" s="170" t="str">
        <f>HLOOKUP(PROVA!G20,GRIGLIA!$D$102:$H$108,4)</f>
        <v>solo parziale e non sempre corretto</v>
      </c>
      <c r="H19" s="170" t="str">
        <f>HLOOKUP(PROVA!H20,GRIGLIA!$D$102:$H$108,5)</f>
        <v>non sa analizzare gli aspetti significativi del problema posto</v>
      </c>
      <c r="I19" s="170" t="str">
        <f>HLOOKUP(PROVA!I20,GRIGLIA!$D$102:$H$108,6)</f>
        <v>sa individuare i concetti chiave ma non collegarli</v>
      </c>
      <c r="J19" s="170" t="str">
        <f>HLOOKUP(PROVA!J20,GRIGLIA!$D$102:$H$108,7)</f>
        <v>esprime giudizi in forma definitoria e senza argomentazioni</v>
      </c>
      <c r="K19" s="171" t="str">
        <f>HLOOKUP(PROVA!K20,GRIGLIA!$D$102:$H$108,2)</f>
        <v>adeguato, ricco, fluido</v>
      </c>
      <c r="L19" s="171" t="str">
        <f>HLOOKUP(PROVA!L20,GRIGLIA!$D$102:$H$108,3)</f>
        <v>adeguato, ricco, organico</v>
      </c>
      <c r="M19" s="171" t="str">
        <f>HLOOKUP(PROVA!M20,GRIGLIA!$D$102:$H$108,4)</f>
        <v>corretto ma limitato al manuale</v>
      </c>
      <c r="N19" s="171" t="str">
        <f>HLOOKUP(PROVA!N20,GRIGLIA!$D$102:$H$108,5)</f>
        <v>sa analizzare alcuni aspetti significativi del problema posto</v>
      </c>
      <c r="O19" s="171" t="str">
        <f>HLOOKUP(PROVA!O20,GRIGLIA!$D$102:$H$108,6)</f>
        <v>sa individuare i concetti chiave ma solo saltuariamente collegarli</v>
      </c>
      <c r="P19" s="171" t="str">
        <f>HLOOKUP(PROVA!P20,GRIGLIA!$D$102:$H$108,7)</f>
        <v>esprime giudizi non sempre adeguati al tema proposto, e li argomenta poco efficacemente</v>
      </c>
      <c r="Q19" s="172" t="str">
        <f>HLOOKUP(PROVA!Q20,GRIGLIA!$D$102:$H$108,2)</f>
        <v>adeguato, ricco, fluido</v>
      </c>
      <c r="R19" s="172" t="str">
        <f>HLOOKUP(PROVA!R20,GRIGLIA!$D$102:$H$108,3)</f>
        <v>adeguato, ricco, organico</v>
      </c>
      <c r="S19" s="172" t="str">
        <f>HLOOKUP(PROVA!S20,GRIGLIA!$D$102:$H$108,4)</f>
        <v>corretto ma limitato al manuale</v>
      </c>
      <c r="T19" s="172" t="str">
        <f>HLOOKUP(PROVA!T20,GRIGLIA!$D$102:$H$108,5)</f>
        <v>sa analizzare alcuni aspetti significativi del problema posto</v>
      </c>
      <c r="U19" s="172" t="str">
        <f>HLOOKUP(PROVA!U20,GRIGLIA!$D$102:$H$108,6)</f>
        <v>sa individuare i concetti chiave ma solo saltuariamente collegarli</v>
      </c>
      <c r="V19" s="173" t="str">
        <f>HLOOKUP(PROVA!V20,GRIGLIA!$D$102:$H$108,7)</f>
        <v>esprime giudizi non sempre adeguati al tema proposto, e li argomenta poco efficacemente</v>
      </c>
      <c r="W19" s="25"/>
      <c r="X19" s="7"/>
      <c r="Y19" s="7"/>
      <c r="Z19" s="10"/>
      <c r="AA19" s="7"/>
      <c r="AB19" s="7"/>
      <c r="AC19" s="7"/>
      <c r="AD19" s="7"/>
      <c r="AE19" s="7"/>
    </row>
    <row r="20" spans="1:31" ht="63.75">
      <c r="A20" s="145">
        <f>PROVA!A21</f>
        <v>5.75</v>
      </c>
      <c r="B20" s="146">
        <f>PROVA!B21</f>
        <v>9.583333333333334</v>
      </c>
      <c r="C20" s="146">
        <f>PROVA!C21</f>
        <v>21.083333333333332</v>
      </c>
      <c r="D20" s="169" t="str">
        <f>PROVA!D21</f>
        <v>studente17</v>
      </c>
      <c r="E20" s="170" t="str">
        <f>HLOOKUP(PROVA!E21,GRIGLIA!$D$102:$H$108,2)</f>
        <v>spesso scorretto o   inadeguato</v>
      </c>
      <c r="F20" s="170" t="str">
        <f>HLOOKUP(PROVA!F21,GRIGLIA!$D$102:$H$108,3)</f>
        <v>spesso incoerente</v>
      </c>
      <c r="G20" s="170" t="str">
        <f>HLOOKUP(PROVA!G21,GRIGLIA!$D$102:$H$108,4)</f>
        <v>solo parziale e non sempre corretto</v>
      </c>
      <c r="H20" s="170" t="str">
        <f>HLOOKUP(PROVA!H21,GRIGLIA!$D$102:$H$108,5)</f>
        <v>non sa analizzare gli aspetti significativi del problema posto</v>
      </c>
      <c r="I20" s="170" t="str">
        <f>HLOOKUP(PROVA!I21,GRIGLIA!$D$102:$H$108,6)</f>
        <v>sa individuare i concetti chiave ma non collegarli</v>
      </c>
      <c r="J20" s="170" t="str">
        <f>HLOOKUP(PROVA!J21,GRIGLIA!$D$102:$H$108,7)</f>
        <v>esprime giudizi in forma definitoria e senza argomentazioni</v>
      </c>
      <c r="K20" s="171" t="str">
        <f>HLOOKUP(PROVA!K21,GRIGLIA!$D$102:$H$108,2)</f>
        <v>adeguato, ricco, fluido</v>
      </c>
      <c r="L20" s="171" t="str">
        <f>HLOOKUP(PROVA!L21,GRIGLIA!$D$102:$H$108,3)</f>
        <v>adeguato, ricco, organico</v>
      </c>
      <c r="M20" s="171" t="str">
        <f>HLOOKUP(PROVA!M21,GRIGLIA!$D$102:$H$108,4)</f>
        <v>corretto ma limitato al manuale</v>
      </c>
      <c r="N20" s="171" t="str">
        <f>HLOOKUP(PROVA!N21,GRIGLIA!$D$102:$H$108,5)</f>
        <v>sa analizzare alcuni aspetti significativi del problema posto</v>
      </c>
      <c r="O20" s="171" t="str">
        <f>HLOOKUP(PROVA!O21,GRIGLIA!$D$102:$H$108,6)</f>
        <v>sa individuare i concetti chiave ma solo saltuariamente collegarli</v>
      </c>
      <c r="P20" s="171" t="str">
        <f>HLOOKUP(PROVA!P21,GRIGLIA!$D$102:$H$108,7)</f>
        <v>esprime giudizi non sempre adeguati al tema proposto, e li argomenta poco efficacemente</v>
      </c>
      <c r="Q20" s="172" t="str">
        <f>HLOOKUP(PROVA!Q21,GRIGLIA!$D$102:$H$108,2)</f>
        <v>adeguato, ricco, fluido</v>
      </c>
      <c r="R20" s="172" t="str">
        <f>HLOOKUP(PROVA!R21,GRIGLIA!$D$102:$H$108,3)</f>
        <v>adeguato, ricco, organico</v>
      </c>
      <c r="S20" s="172" t="str">
        <f>HLOOKUP(PROVA!S21,GRIGLIA!$D$102:$H$108,4)</f>
        <v>corretto ma limitato al manuale</v>
      </c>
      <c r="T20" s="172" t="str">
        <f>HLOOKUP(PROVA!T21,GRIGLIA!$D$102:$H$108,5)</f>
        <v>sa analizzare alcuni aspetti significativi del problema posto</v>
      </c>
      <c r="U20" s="172" t="str">
        <f>HLOOKUP(PROVA!U21,GRIGLIA!$D$102:$H$108,6)</f>
        <v>sa individuare i concetti chiave ma solo saltuariamente collegarli</v>
      </c>
      <c r="V20" s="173" t="str">
        <f>HLOOKUP(PROVA!V21,GRIGLIA!$D$102:$H$108,7)</f>
        <v>esprime giudizi non sempre adeguati al tema proposto, e li argomenta poco efficacemente</v>
      </c>
      <c r="W20" s="25"/>
      <c r="X20" s="7"/>
      <c r="Y20" s="7"/>
      <c r="Z20" s="10"/>
      <c r="AA20" s="7"/>
      <c r="AB20" s="7"/>
      <c r="AC20" s="7"/>
      <c r="AD20" s="7"/>
      <c r="AE20" s="7"/>
    </row>
    <row r="21" spans="1:31" ht="63.75">
      <c r="A21" s="145">
        <f>PROVA!A22</f>
        <v>5.75</v>
      </c>
      <c r="B21" s="146">
        <f>PROVA!B22</f>
        <v>9.583333333333334</v>
      </c>
      <c r="C21" s="146">
        <f>PROVA!C22</f>
        <v>21.083333333333332</v>
      </c>
      <c r="D21" s="169" t="str">
        <f>PROVA!D22</f>
        <v>studente18</v>
      </c>
      <c r="E21" s="170" t="str">
        <f>HLOOKUP(PROVA!E22,GRIGLIA!$D$102:$H$108,2)</f>
        <v>spesso scorretto o   inadeguato</v>
      </c>
      <c r="F21" s="170" t="str">
        <f>HLOOKUP(PROVA!F22,GRIGLIA!$D$102:$H$108,3)</f>
        <v>spesso incoerente</v>
      </c>
      <c r="G21" s="170" t="str">
        <f>HLOOKUP(PROVA!G22,GRIGLIA!$D$102:$H$108,4)</f>
        <v>solo parziale e non sempre corretto</v>
      </c>
      <c r="H21" s="170" t="str">
        <f>HLOOKUP(PROVA!H22,GRIGLIA!$D$102:$H$108,5)</f>
        <v>non sa analizzare gli aspetti significativi del problema posto</v>
      </c>
      <c r="I21" s="170" t="str">
        <f>HLOOKUP(PROVA!I22,GRIGLIA!$D$102:$H$108,6)</f>
        <v>sa individuare i concetti chiave ma non collegarli</v>
      </c>
      <c r="J21" s="170" t="str">
        <f>HLOOKUP(PROVA!J22,GRIGLIA!$D$102:$H$108,7)</f>
        <v>esprime giudizi in forma definitoria e senza argomentazioni</v>
      </c>
      <c r="K21" s="171" t="str">
        <f>HLOOKUP(PROVA!K22,GRIGLIA!$D$102:$H$108,2)</f>
        <v>adeguato, ricco, fluido</v>
      </c>
      <c r="L21" s="171" t="str">
        <f>HLOOKUP(PROVA!L22,GRIGLIA!$D$102:$H$108,3)</f>
        <v>adeguato, ricco, organico</v>
      </c>
      <c r="M21" s="171" t="str">
        <f>HLOOKUP(PROVA!M22,GRIGLIA!$D$102:$H$108,4)</f>
        <v>corretto ma limitato al manuale</v>
      </c>
      <c r="N21" s="171" t="str">
        <f>HLOOKUP(PROVA!N22,GRIGLIA!$D$102:$H$108,5)</f>
        <v>sa analizzare alcuni aspetti significativi del problema posto</v>
      </c>
      <c r="O21" s="171" t="str">
        <f>HLOOKUP(PROVA!O22,GRIGLIA!$D$102:$H$108,6)</f>
        <v>sa individuare i concetti chiave ma solo saltuariamente collegarli</v>
      </c>
      <c r="P21" s="171" t="str">
        <f>HLOOKUP(PROVA!P22,GRIGLIA!$D$102:$H$108,7)</f>
        <v>esprime giudizi non sempre adeguati al tema proposto, e li argomenta poco efficacemente</v>
      </c>
      <c r="Q21" s="172" t="str">
        <f>HLOOKUP(PROVA!Q22,GRIGLIA!$D$102:$H$108,2)</f>
        <v>adeguato, ricco, fluido</v>
      </c>
      <c r="R21" s="172" t="str">
        <f>HLOOKUP(PROVA!R22,GRIGLIA!$D$102:$H$108,3)</f>
        <v>adeguato, ricco, organico</v>
      </c>
      <c r="S21" s="172" t="str">
        <f>HLOOKUP(PROVA!S22,GRIGLIA!$D$102:$H$108,4)</f>
        <v>corretto ma limitato al manuale</v>
      </c>
      <c r="T21" s="172" t="str">
        <f>HLOOKUP(PROVA!T22,GRIGLIA!$D$102:$H$108,5)</f>
        <v>sa analizzare alcuni aspetti significativi del problema posto</v>
      </c>
      <c r="U21" s="172" t="str">
        <f>HLOOKUP(PROVA!U22,GRIGLIA!$D$102:$H$108,6)</f>
        <v>sa individuare i concetti chiave ma solo saltuariamente collegarli</v>
      </c>
      <c r="V21" s="173" t="str">
        <f>HLOOKUP(PROVA!V22,GRIGLIA!$D$102:$H$108,7)</f>
        <v>esprime giudizi non sempre adeguati al tema proposto, e li argomenta poco efficacemente</v>
      </c>
      <c r="W21" s="25"/>
      <c r="X21" s="7"/>
      <c r="Y21" s="7"/>
      <c r="Z21" s="10"/>
      <c r="AA21" s="7"/>
      <c r="AB21" s="7"/>
      <c r="AC21" s="7"/>
      <c r="AD21" s="7"/>
      <c r="AE21" s="7"/>
    </row>
    <row r="22" spans="1:31" ht="63.75">
      <c r="A22" s="145">
        <f>PROVA!A23</f>
        <v>5.75</v>
      </c>
      <c r="B22" s="146">
        <f>PROVA!B23</f>
        <v>9.583333333333334</v>
      </c>
      <c r="C22" s="146">
        <f>PROVA!C23</f>
        <v>21.083333333333332</v>
      </c>
      <c r="D22" s="169" t="str">
        <f>PROVA!D23</f>
        <v>studente19</v>
      </c>
      <c r="E22" s="170" t="str">
        <f>HLOOKUP(PROVA!E23,GRIGLIA!$D$102:$H$108,2)</f>
        <v>spesso scorretto o   inadeguato</v>
      </c>
      <c r="F22" s="170" t="str">
        <f>HLOOKUP(PROVA!F23,GRIGLIA!$D$102:$H$108,3)</f>
        <v>spesso incoerente</v>
      </c>
      <c r="G22" s="170" t="str">
        <f>HLOOKUP(PROVA!G23,GRIGLIA!$D$102:$H$108,4)</f>
        <v>solo parziale e non sempre corretto</v>
      </c>
      <c r="H22" s="170" t="str">
        <f>HLOOKUP(PROVA!H23,GRIGLIA!$D$102:$H$108,5)</f>
        <v>non sa analizzare gli aspetti significativi del problema posto</v>
      </c>
      <c r="I22" s="170" t="str">
        <f>HLOOKUP(PROVA!I23,GRIGLIA!$D$102:$H$108,6)</f>
        <v>sa individuare i concetti chiave ma non collegarli</v>
      </c>
      <c r="J22" s="170" t="str">
        <f>HLOOKUP(PROVA!J23,GRIGLIA!$D$102:$H$108,7)</f>
        <v>esprime giudizi in forma definitoria e senza argomentazioni</v>
      </c>
      <c r="K22" s="171" t="str">
        <f>HLOOKUP(PROVA!K23,GRIGLIA!$D$102:$H$108,2)</f>
        <v>adeguato, ricco, fluido</v>
      </c>
      <c r="L22" s="171" t="str">
        <f>HLOOKUP(PROVA!L23,GRIGLIA!$D$102:$H$108,3)</f>
        <v>adeguato, ricco, organico</v>
      </c>
      <c r="M22" s="171" t="str">
        <f>HLOOKUP(PROVA!M23,GRIGLIA!$D$102:$H$108,4)</f>
        <v>corretto ma limitato al manuale</v>
      </c>
      <c r="N22" s="171" t="str">
        <f>HLOOKUP(PROVA!N23,GRIGLIA!$D$102:$H$108,5)</f>
        <v>sa analizzare alcuni aspetti significativi del problema posto</v>
      </c>
      <c r="O22" s="171" t="str">
        <f>HLOOKUP(PROVA!O23,GRIGLIA!$D$102:$H$108,6)</f>
        <v>sa individuare i concetti chiave ma solo saltuariamente collegarli</v>
      </c>
      <c r="P22" s="171" t="str">
        <f>HLOOKUP(PROVA!P23,GRIGLIA!$D$102:$H$108,7)</f>
        <v>esprime giudizi non sempre adeguati al tema proposto, e li argomenta poco efficacemente</v>
      </c>
      <c r="Q22" s="172" t="str">
        <f>HLOOKUP(PROVA!Q23,GRIGLIA!$D$102:$H$108,2)</f>
        <v>adeguato, ricco, fluido</v>
      </c>
      <c r="R22" s="172" t="str">
        <f>HLOOKUP(PROVA!R23,GRIGLIA!$D$102:$H$108,3)</f>
        <v>adeguato, ricco, organico</v>
      </c>
      <c r="S22" s="172" t="str">
        <f>HLOOKUP(PROVA!S23,GRIGLIA!$D$102:$H$108,4)</f>
        <v>corretto ma limitato al manuale</v>
      </c>
      <c r="T22" s="172" t="str">
        <f>HLOOKUP(PROVA!T23,GRIGLIA!$D$102:$H$108,5)</f>
        <v>sa analizzare alcuni aspetti significativi del problema posto</v>
      </c>
      <c r="U22" s="172" t="str">
        <f>HLOOKUP(PROVA!U23,GRIGLIA!$D$102:$H$108,6)</f>
        <v>sa individuare i concetti chiave ma solo saltuariamente collegarli</v>
      </c>
      <c r="V22" s="173" t="str">
        <f>HLOOKUP(PROVA!V23,GRIGLIA!$D$102:$H$108,7)</f>
        <v>esprime giudizi non sempre adeguati al tema proposto, e li argomenta poco efficacemente</v>
      </c>
      <c r="W22" s="25"/>
      <c r="X22" s="7"/>
      <c r="Y22" s="7"/>
      <c r="Z22" s="10"/>
      <c r="AA22" s="7"/>
      <c r="AB22" s="7"/>
      <c r="AC22" s="7"/>
      <c r="AD22" s="7"/>
      <c r="AE22" s="7"/>
    </row>
    <row r="23" spans="1:31" ht="63.75">
      <c r="A23" s="145">
        <f>PROVA!A24</f>
        <v>5.75</v>
      </c>
      <c r="B23" s="146">
        <f>PROVA!B24</f>
        <v>9.583333333333334</v>
      </c>
      <c r="C23" s="146">
        <f>PROVA!C24</f>
        <v>21.083333333333332</v>
      </c>
      <c r="D23" s="169" t="str">
        <f>PROVA!D24</f>
        <v>studente20</v>
      </c>
      <c r="E23" s="170" t="str">
        <f>HLOOKUP(PROVA!E24,GRIGLIA!$D$102:$H$108,2)</f>
        <v>spesso scorretto o   inadeguato</v>
      </c>
      <c r="F23" s="170" t="str">
        <f>HLOOKUP(PROVA!F24,GRIGLIA!$D$102:$H$108,3)</f>
        <v>spesso incoerente</v>
      </c>
      <c r="G23" s="170" t="str">
        <f>HLOOKUP(PROVA!G24,GRIGLIA!$D$102:$H$108,4)</f>
        <v>solo parziale e non sempre corretto</v>
      </c>
      <c r="H23" s="170" t="str">
        <f>HLOOKUP(PROVA!H24,GRIGLIA!$D$102:$H$108,5)</f>
        <v>non sa analizzare gli aspetti significativi del problema posto</v>
      </c>
      <c r="I23" s="170" t="str">
        <f>HLOOKUP(PROVA!I24,GRIGLIA!$D$102:$H$108,6)</f>
        <v>sa individuare i concetti chiave ma non collegarli</v>
      </c>
      <c r="J23" s="170" t="str">
        <f>HLOOKUP(PROVA!J24,GRIGLIA!$D$102:$H$108,7)</f>
        <v>esprime giudizi in forma definitoria e senza argomentazioni</v>
      </c>
      <c r="K23" s="171" t="str">
        <f>HLOOKUP(PROVA!K24,GRIGLIA!$D$102:$H$108,2)</f>
        <v>adeguato, ricco, fluido</v>
      </c>
      <c r="L23" s="171" t="str">
        <f>HLOOKUP(PROVA!L24,GRIGLIA!$D$102:$H$108,3)</f>
        <v>adeguato, ricco, organico</v>
      </c>
      <c r="M23" s="171" t="str">
        <f>HLOOKUP(PROVA!M24,GRIGLIA!$D$102:$H$108,4)</f>
        <v>corretto ma limitato al manuale</v>
      </c>
      <c r="N23" s="171" t="str">
        <f>HLOOKUP(PROVA!N24,GRIGLIA!$D$102:$H$108,5)</f>
        <v>sa analizzare alcuni aspetti significativi del problema posto</v>
      </c>
      <c r="O23" s="171" t="str">
        <f>HLOOKUP(PROVA!O24,GRIGLIA!$D$102:$H$108,6)</f>
        <v>sa individuare i concetti chiave ma solo saltuariamente collegarli</v>
      </c>
      <c r="P23" s="171" t="str">
        <f>HLOOKUP(PROVA!P24,GRIGLIA!$D$102:$H$108,7)</f>
        <v>esprime giudizi non sempre adeguati al tema proposto, e li argomenta poco efficacemente</v>
      </c>
      <c r="Q23" s="172" t="str">
        <f>HLOOKUP(PROVA!Q24,GRIGLIA!$D$102:$H$108,2)</f>
        <v>adeguato, ricco, fluido</v>
      </c>
      <c r="R23" s="172" t="str">
        <f>HLOOKUP(PROVA!R24,GRIGLIA!$D$102:$H$108,3)</f>
        <v>adeguato, ricco, organico</v>
      </c>
      <c r="S23" s="172" t="str">
        <f>HLOOKUP(PROVA!S24,GRIGLIA!$D$102:$H$108,4)</f>
        <v>corretto ma limitato al manuale</v>
      </c>
      <c r="T23" s="172" t="str">
        <f>HLOOKUP(PROVA!T24,GRIGLIA!$D$102:$H$108,5)</f>
        <v>sa analizzare alcuni aspetti significativi del problema posto</v>
      </c>
      <c r="U23" s="172" t="str">
        <f>HLOOKUP(PROVA!U24,GRIGLIA!$D$102:$H$108,6)</f>
        <v>sa individuare i concetti chiave ma solo saltuariamente collegarli</v>
      </c>
      <c r="V23" s="173" t="str">
        <f>HLOOKUP(PROVA!V24,GRIGLIA!$D$102:$H$108,7)</f>
        <v>esprime giudizi non sempre adeguati al tema proposto, e li argomenta poco efficacemente</v>
      </c>
      <c r="W23" s="25"/>
      <c r="X23" s="7"/>
      <c r="Y23" s="7"/>
      <c r="Z23" s="10"/>
      <c r="AA23" s="7"/>
      <c r="AB23" s="7"/>
      <c r="AC23" s="7"/>
      <c r="AD23" s="7"/>
      <c r="AE23" s="7"/>
    </row>
    <row r="24" spans="1:31" ht="63.75">
      <c r="A24" s="145">
        <f>PROVA!A25</f>
        <v>5.75</v>
      </c>
      <c r="B24" s="146">
        <f>PROVA!B25</f>
        <v>9.583333333333334</v>
      </c>
      <c r="C24" s="146">
        <f>PROVA!C25</f>
        <v>21.083333333333332</v>
      </c>
      <c r="D24" s="169" t="str">
        <f>PROVA!D25</f>
        <v>studente21</v>
      </c>
      <c r="E24" s="170" t="str">
        <f>HLOOKUP(PROVA!E25,GRIGLIA!$D$102:$H$108,2)</f>
        <v>spesso scorretto o   inadeguato</v>
      </c>
      <c r="F24" s="170" t="str">
        <f>HLOOKUP(PROVA!F25,GRIGLIA!$D$102:$H$108,3)</f>
        <v>spesso incoerente</v>
      </c>
      <c r="G24" s="170" t="str">
        <f>HLOOKUP(PROVA!G25,GRIGLIA!$D$102:$H$108,4)</f>
        <v>solo parziale e non sempre corretto</v>
      </c>
      <c r="H24" s="170" t="str">
        <f>HLOOKUP(PROVA!H25,GRIGLIA!$D$102:$H$108,5)</f>
        <v>non sa analizzare gli aspetti significativi del problema posto</v>
      </c>
      <c r="I24" s="170" t="str">
        <f>HLOOKUP(PROVA!I25,GRIGLIA!$D$102:$H$108,6)</f>
        <v>sa individuare i concetti chiave ma non collegarli</v>
      </c>
      <c r="J24" s="170" t="str">
        <f>HLOOKUP(PROVA!J25,GRIGLIA!$D$102:$H$108,7)</f>
        <v>esprime giudizi in forma definitoria e senza argomentazioni</v>
      </c>
      <c r="K24" s="171" t="str">
        <f>HLOOKUP(PROVA!K25,GRIGLIA!$D$102:$H$108,2)</f>
        <v>adeguato, ricco, fluido</v>
      </c>
      <c r="L24" s="171" t="str">
        <f>HLOOKUP(PROVA!L25,GRIGLIA!$D$102:$H$108,3)</f>
        <v>adeguato, ricco, organico</v>
      </c>
      <c r="M24" s="171" t="str">
        <f>HLOOKUP(PROVA!M25,GRIGLIA!$D$102:$H$108,4)</f>
        <v>corretto ma limitato al manuale</v>
      </c>
      <c r="N24" s="171" t="str">
        <f>HLOOKUP(PROVA!N25,GRIGLIA!$D$102:$H$108,5)</f>
        <v>sa analizzare alcuni aspetti significativi del problema posto</v>
      </c>
      <c r="O24" s="171" t="str">
        <f>HLOOKUP(PROVA!O25,GRIGLIA!$D$102:$H$108,6)</f>
        <v>sa individuare i concetti chiave ma solo saltuariamente collegarli</v>
      </c>
      <c r="P24" s="171" t="str">
        <f>HLOOKUP(PROVA!P25,GRIGLIA!$D$102:$H$108,7)</f>
        <v>esprime giudizi non sempre adeguati al tema proposto, e li argomenta poco efficacemente</v>
      </c>
      <c r="Q24" s="172" t="str">
        <f>HLOOKUP(PROVA!Q25,GRIGLIA!$D$102:$H$108,2)</f>
        <v>adeguato, ricco, fluido</v>
      </c>
      <c r="R24" s="172" t="str">
        <f>HLOOKUP(PROVA!R25,GRIGLIA!$D$102:$H$108,3)</f>
        <v>adeguato, ricco, organico</v>
      </c>
      <c r="S24" s="172" t="str">
        <f>HLOOKUP(PROVA!S25,GRIGLIA!$D$102:$H$108,4)</f>
        <v>corretto ma limitato al manuale</v>
      </c>
      <c r="T24" s="172" t="str">
        <f>HLOOKUP(PROVA!T25,GRIGLIA!$D$102:$H$108,5)</f>
        <v>sa analizzare alcuni aspetti significativi del problema posto</v>
      </c>
      <c r="U24" s="172" t="str">
        <f>HLOOKUP(PROVA!U25,GRIGLIA!$D$102:$H$108,6)</f>
        <v>sa individuare i concetti chiave ma solo saltuariamente collegarli</v>
      </c>
      <c r="V24" s="173" t="str">
        <f>HLOOKUP(PROVA!V25,GRIGLIA!$D$102:$H$108,7)</f>
        <v>esprime giudizi non sempre adeguati al tema proposto, e li argomenta poco efficacemente</v>
      </c>
      <c r="W24" s="25"/>
      <c r="X24" s="7"/>
      <c r="Y24" s="7"/>
      <c r="Z24" s="10"/>
      <c r="AA24" s="7"/>
      <c r="AB24" s="7"/>
      <c r="AC24" s="7"/>
      <c r="AD24" s="7"/>
      <c r="AE24" s="7"/>
    </row>
    <row r="25" spans="1:31" ht="63.75">
      <c r="A25" s="145">
        <f>PROVA!A26</f>
        <v>5.75</v>
      </c>
      <c r="B25" s="146">
        <f>PROVA!B26</f>
        <v>9.583333333333334</v>
      </c>
      <c r="C25" s="146">
        <f>PROVA!C26</f>
        <v>21.083333333333332</v>
      </c>
      <c r="D25" s="169" t="str">
        <f>PROVA!D26</f>
        <v>studente22</v>
      </c>
      <c r="E25" s="170" t="str">
        <f>HLOOKUP(PROVA!E26,GRIGLIA!$D$102:$H$108,2)</f>
        <v>spesso scorretto o   inadeguato</v>
      </c>
      <c r="F25" s="170" t="str">
        <f>HLOOKUP(PROVA!F26,GRIGLIA!$D$102:$H$108,3)</f>
        <v>spesso incoerente</v>
      </c>
      <c r="G25" s="170" t="str">
        <f>HLOOKUP(PROVA!G26,GRIGLIA!$D$102:$H$108,4)</f>
        <v>solo parziale e non sempre corretto</v>
      </c>
      <c r="H25" s="170" t="str">
        <f>HLOOKUP(PROVA!H26,GRIGLIA!$D$102:$H$108,5)</f>
        <v>non sa analizzare gli aspetti significativi del problema posto</v>
      </c>
      <c r="I25" s="170" t="str">
        <f>HLOOKUP(PROVA!I26,GRIGLIA!$D$102:$H$108,6)</f>
        <v>sa individuare i concetti chiave ma non collegarli</v>
      </c>
      <c r="J25" s="170" t="str">
        <f>HLOOKUP(PROVA!J26,GRIGLIA!$D$102:$H$108,7)</f>
        <v>esprime giudizi in forma definitoria e senza argomentazioni</v>
      </c>
      <c r="K25" s="171" t="str">
        <f>HLOOKUP(PROVA!K26,GRIGLIA!$D$102:$H$108,2)</f>
        <v>adeguato, ricco, fluido</v>
      </c>
      <c r="L25" s="171" t="str">
        <f>HLOOKUP(PROVA!L26,GRIGLIA!$D$102:$H$108,3)</f>
        <v>adeguato, ricco, organico</v>
      </c>
      <c r="M25" s="171" t="str">
        <f>HLOOKUP(PROVA!M26,GRIGLIA!$D$102:$H$108,4)</f>
        <v>corretto ma limitato al manuale</v>
      </c>
      <c r="N25" s="171" t="str">
        <f>HLOOKUP(PROVA!N26,GRIGLIA!$D$102:$H$108,5)</f>
        <v>sa analizzare alcuni aspetti significativi del problema posto</v>
      </c>
      <c r="O25" s="171" t="str">
        <f>HLOOKUP(PROVA!O26,GRIGLIA!$D$102:$H$108,6)</f>
        <v>sa individuare i concetti chiave ma solo saltuariamente collegarli</v>
      </c>
      <c r="P25" s="171" t="str">
        <f>HLOOKUP(PROVA!P26,GRIGLIA!$D$102:$H$108,7)</f>
        <v>esprime giudizi non sempre adeguati al tema proposto, e li argomenta poco efficacemente</v>
      </c>
      <c r="Q25" s="172" t="str">
        <f>HLOOKUP(PROVA!Q26,GRIGLIA!$D$102:$H$108,2)</f>
        <v>adeguato, ricco, fluido</v>
      </c>
      <c r="R25" s="172" t="str">
        <f>HLOOKUP(PROVA!R26,GRIGLIA!$D$102:$H$108,3)</f>
        <v>adeguato, ricco, organico</v>
      </c>
      <c r="S25" s="172" t="str">
        <f>HLOOKUP(PROVA!S26,GRIGLIA!$D$102:$H$108,4)</f>
        <v>corretto ma limitato al manuale</v>
      </c>
      <c r="T25" s="172" t="str">
        <f>HLOOKUP(PROVA!T26,GRIGLIA!$D$102:$H$108,5)</f>
        <v>sa analizzare alcuni aspetti significativi del problema posto</v>
      </c>
      <c r="U25" s="172" t="str">
        <f>HLOOKUP(PROVA!U26,GRIGLIA!$D$102:$H$108,6)</f>
        <v>sa individuare i concetti chiave ma solo saltuariamente collegarli</v>
      </c>
      <c r="V25" s="173" t="str">
        <f>HLOOKUP(PROVA!V26,GRIGLIA!$D$102:$H$108,7)</f>
        <v>esprime giudizi non sempre adeguati al tema proposto, e li argomenta poco efficacemente</v>
      </c>
      <c r="W25" s="25"/>
      <c r="X25" s="7"/>
      <c r="Y25" s="7"/>
      <c r="Z25" s="10"/>
      <c r="AA25" s="7"/>
      <c r="AB25" s="7"/>
      <c r="AC25" s="7"/>
      <c r="AD25" s="7"/>
      <c r="AE25" s="7"/>
    </row>
    <row r="26" spans="1:31" ht="63.75">
      <c r="A26" s="145">
        <f>PROVA!A27</f>
        <v>5.75</v>
      </c>
      <c r="B26" s="146">
        <f>PROVA!B27</f>
        <v>9.583333333333334</v>
      </c>
      <c r="C26" s="146">
        <f>PROVA!C27</f>
        <v>21.083333333333332</v>
      </c>
      <c r="D26" s="169" t="str">
        <f>PROVA!D27</f>
        <v>studente23</v>
      </c>
      <c r="E26" s="170" t="str">
        <f>HLOOKUP(PROVA!E27,GRIGLIA!$D$102:$H$108,2)</f>
        <v>spesso scorretto o   inadeguato</v>
      </c>
      <c r="F26" s="170" t="str">
        <f>HLOOKUP(PROVA!F27,GRIGLIA!$D$102:$H$108,3)</f>
        <v>spesso incoerente</v>
      </c>
      <c r="G26" s="170" t="str">
        <f>HLOOKUP(PROVA!G27,GRIGLIA!$D$102:$H$108,4)</f>
        <v>solo parziale e non sempre corretto</v>
      </c>
      <c r="H26" s="170" t="str">
        <f>HLOOKUP(PROVA!H27,GRIGLIA!$D$102:$H$108,5)</f>
        <v>non sa analizzare gli aspetti significativi del problema posto</v>
      </c>
      <c r="I26" s="170" t="str">
        <f>HLOOKUP(PROVA!I27,GRIGLIA!$D$102:$H$108,6)</f>
        <v>sa individuare i concetti chiave ma non collegarli</v>
      </c>
      <c r="J26" s="170" t="str">
        <f>HLOOKUP(PROVA!J27,GRIGLIA!$D$102:$H$108,7)</f>
        <v>esprime giudizi in forma definitoria e senza argomentazioni</v>
      </c>
      <c r="K26" s="171" t="str">
        <f>HLOOKUP(PROVA!K27,GRIGLIA!$D$102:$H$108,2)</f>
        <v>adeguato, ricco, fluido</v>
      </c>
      <c r="L26" s="171" t="str">
        <f>HLOOKUP(PROVA!L27,GRIGLIA!$D$102:$H$108,3)</f>
        <v>adeguato, ricco, organico</v>
      </c>
      <c r="M26" s="171" t="str">
        <f>HLOOKUP(PROVA!M27,GRIGLIA!$D$102:$H$108,4)</f>
        <v>corretto ma limitato al manuale</v>
      </c>
      <c r="N26" s="171" t="str">
        <f>HLOOKUP(PROVA!N27,GRIGLIA!$D$102:$H$108,5)</f>
        <v>sa analizzare alcuni aspetti significativi del problema posto</v>
      </c>
      <c r="O26" s="171" t="str">
        <f>HLOOKUP(PROVA!O27,GRIGLIA!$D$102:$H$108,6)</f>
        <v>sa individuare i concetti chiave ma solo saltuariamente collegarli</v>
      </c>
      <c r="P26" s="171" t="str">
        <f>HLOOKUP(PROVA!P27,GRIGLIA!$D$102:$H$108,7)</f>
        <v>esprime giudizi non sempre adeguati al tema proposto, e li argomenta poco efficacemente</v>
      </c>
      <c r="Q26" s="172" t="str">
        <f>HLOOKUP(PROVA!Q27,GRIGLIA!$D$102:$H$108,2)</f>
        <v>adeguato, ricco, fluido</v>
      </c>
      <c r="R26" s="172" t="str">
        <f>HLOOKUP(PROVA!R27,GRIGLIA!$D$102:$H$108,3)</f>
        <v>adeguato, ricco, organico</v>
      </c>
      <c r="S26" s="172" t="str">
        <f>HLOOKUP(PROVA!S27,GRIGLIA!$D$102:$H$108,4)</f>
        <v>corretto ma limitato al manuale</v>
      </c>
      <c r="T26" s="172" t="str">
        <f>HLOOKUP(PROVA!T27,GRIGLIA!$D$102:$H$108,5)</f>
        <v>sa analizzare alcuni aspetti significativi del problema posto</v>
      </c>
      <c r="U26" s="172" t="str">
        <f>HLOOKUP(PROVA!U27,GRIGLIA!$D$102:$H$108,6)</f>
        <v>sa individuare i concetti chiave ma solo saltuariamente collegarli</v>
      </c>
      <c r="V26" s="173" t="str">
        <f>HLOOKUP(PROVA!V27,GRIGLIA!$D$102:$H$108,7)</f>
        <v>esprime giudizi non sempre adeguati al tema proposto, e li argomenta poco efficacemente</v>
      </c>
      <c r="W26" s="25"/>
      <c r="X26" s="7"/>
      <c r="Y26" s="7"/>
      <c r="Z26" s="10"/>
      <c r="AA26" s="7"/>
      <c r="AB26" s="7"/>
      <c r="AC26" s="7"/>
      <c r="AD26" s="7"/>
      <c r="AE26" s="7"/>
    </row>
    <row r="27" spans="1:31" ht="63.75">
      <c r="A27" s="145">
        <f>PROVA!A28</f>
        <v>5.75</v>
      </c>
      <c r="B27" s="146">
        <f>PROVA!B28</f>
        <v>9.583333333333334</v>
      </c>
      <c r="C27" s="146">
        <f>PROVA!C28</f>
        <v>21.083333333333332</v>
      </c>
      <c r="D27" s="169" t="str">
        <f>PROVA!D28</f>
        <v>studente24</v>
      </c>
      <c r="E27" s="170" t="str">
        <f>HLOOKUP(PROVA!E28,GRIGLIA!$D$102:$H$108,2)</f>
        <v>spesso scorretto o   inadeguato</v>
      </c>
      <c r="F27" s="170" t="str">
        <f>HLOOKUP(PROVA!F28,GRIGLIA!$D$102:$H$108,3)</f>
        <v>spesso incoerente</v>
      </c>
      <c r="G27" s="170" t="str">
        <f>HLOOKUP(PROVA!G28,GRIGLIA!$D$102:$H$108,4)</f>
        <v>solo parziale e non sempre corretto</v>
      </c>
      <c r="H27" s="170" t="str">
        <f>HLOOKUP(PROVA!H28,GRIGLIA!$D$102:$H$108,5)</f>
        <v>non sa analizzare gli aspetti significativi del problema posto</v>
      </c>
      <c r="I27" s="170" t="str">
        <f>HLOOKUP(PROVA!I28,GRIGLIA!$D$102:$H$108,6)</f>
        <v>sa individuare i concetti chiave ma non collegarli</v>
      </c>
      <c r="J27" s="170" t="str">
        <f>HLOOKUP(PROVA!J28,GRIGLIA!$D$102:$H$108,7)</f>
        <v>esprime giudizi in forma definitoria e senza argomentazioni</v>
      </c>
      <c r="K27" s="171" t="str">
        <f>HLOOKUP(PROVA!K28,GRIGLIA!$D$102:$H$108,2)</f>
        <v>adeguato, ricco, fluido</v>
      </c>
      <c r="L27" s="171" t="str">
        <f>HLOOKUP(PROVA!L28,GRIGLIA!$D$102:$H$108,3)</f>
        <v>adeguato, ricco, organico</v>
      </c>
      <c r="M27" s="171" t="str">
        <f>HLOOKUP(PROVA!M28,GRIGLIA!$D$102:$H$108,4)</f>
        <v>corretto ma limitato al manuale</v>
      </c>
      <c r="N27" s="171" t="str">
        <f>HLOOKUP(PROVA!N28,GRIGLIA!$D$102:$H$108,5)</f>
        <v>sa analizzare alcuni aspetti significativi del problema posto</v>
      </c>
      <c r="O27" s="171" t="str">
        <f>HLOOKUP(PROVA!O28,GRIGLIA!$D$102:$H$108,6)</f>
        <v>sa individuare i concetti chiave ma solo saltuariamente collegarli</v>
      </c>
      <c r="P27" s="171" t="str">
        <f>HLOOKUP(PROVA!P28,GRIGLIA!$D$102:$H$108,7)</f>
        <v>esprime giudizi non sempre adeguati al tema proposto, e li argomenta poco efficacemente</v>
      </c>
      <c r="Q27" s="172" t="str">
        <f>HLOOKUP(PROVA!Q28,GRIGLIA!$D$102:$H$108,2)</f>
        <v>adeguato, ricco, fluido</v>
      </c>
      <c r="R27" s="172" t="str">
        <f>HLOOKUP(PROVA!R28,GRIGLIA!$D$102:$H$108,3)</f>
        <v>adeguato, ricco, organico</v>
      </c>
      <c r="S27" s="172" t="str">
        <f>HLOOKUP(PROVA!S28,GRIGLIA!$D$102:$H$108,4)</f>
        <v>corretto ma limitato al manuale</v>
      </c>
      <c r="T27" s="172" t="str">
        <f>HLOOKUP(PROVA!T28,GRIGLIA!$D$102:$H$108,5)</f>
        <v>sa analizzare alcuni aspetti significativi del problema posto</v>
      </c>
      <c r="U27" s="172" t="str">
        <f>HLOOKUP(PROVA!U28,GRIGLIA!$D$102:$H$108,6)</f>
        <v>sa individuare i concetti chiave ma solo saltuariamente collegarli</v>
      </c>
      <c r="V27" s="173" t="str">
        <f>HLOOKUP(PROVA!V28,GRIGLIA!$D$102:$H$108,7)</f>
        <v>esprime giudizi non sempre adeguati al tema proposto, e li argomenta poco efficacemente</v>
      </c>
      <c r="W27" s="25"/>
      <c r="X27" s="7"/>
      <c r="Y27" s="7"/>
      <c r="Z27" s="10"/>
      <c r="AA27" s="7"/>
      <c r="AB27" s="7"/>
      <c r="AC27" s="7"/>
      <c r="AD27" s="7"/>
      <c r="AE27" s="7"/>
    </row>
    <row r="28" spans="1:31" ht="63.75">
      <c r="A28" s="145">
        <f>PROVA!A29</f>
        <v>5.75</v>
      </c>
      <c r="B28" s="146">
        <f>PROVA!B29</f>
        <v>9.583333333333334</v>
      </c>
      <c r="C28" s="146">
        <f>PROVA!C29</f>
        <v>21.083333333333332</v>
      </c>
      <c r="D28" s="169" t="str">
        <f>PROVA!D29</f>
        <v>studente25</v>
      </c>
      <c r="E28" s="170" t="str">
        <f>HLOOKUP(PROVA!E29,GRIGLIA!$D$102:$H$108,2)</f>
        <v>spesso scorretto o   inadeguato</v>
      </c>
      <c r="F28" s="170" t="str">
        <f>HLOOKUP(PROVA!F29,GRIGLIA!$D$102:$H$108,3)</f>
        <v>spesso incoerente</v>
      </c>
      <c r="G28" s="170" t="str">
        <f>HLOOKUP(PROVA!G29,GRIGLIA!$D$102:$H$108,4)</f>
        <v>solo parziale e non sempre corretto</v>
      </c>
      <c r="H28" s="170" t="str">
        <f>HLOOKUP(PROVA!H29,GRIGLIA!$D$102:$H$108,5)</f>
        <v>non sa analizzare gli aspetti significativi del problema posto</v>
      </c>
      <c r="I28" s="170" t="str">
        <f>HLOOKUP(PROVA!I29,GRIGLIA!$D$102:$H$108,6)</f>
        <v>sa individuare i concetti chiave ma non collegarli</v>
      </c>
      <c r="J28" s="170" t="str">
        <f>HLOOKUP(PROVA!J29,GRIGLIA!$D$102:$H$108,7)</f>
        <v>esprime giudizi in forma definitoria e senza argomentazioni</v>
      </c>
      <c r="K28" s="171" t="str">
        <f>HLOOKUP(PROVA!K29,GRIGLIA!$D$102:$H$108,2)</f>
        <v>adeguato, ricco, fluido</v>
      </c>
      <c r="L28" s="171" t="str">
        <f>HLOOKUP(PROVA!L29,GRIGLIA!$D$102:$H$108,3)</f>
        <v>adeguato, ricco, organico</v>
      </c>
      <c r="M28" s="171" t="str">
        <f>HLOOKUP(PROVA!M29,GRIGLIA!$D$102:$H$108,4)</f>
        <v>corretto ma limitato al manuale</v>
      </c>
      <c r="N28" s="171" t="str">
        <f>HLOOKUP(PROVA!N29,GRIGLIA!$D$102:$H$108,5)</f>
        <v>sa analizzare alcuni aspetti significativi del problema posto</v>
      </c>
      <c r="O28" s="171" t="str">
        <f>HLOOKUP(PROVA!O29,GRIGLIA!$D$102:$H$108,6)</f>
        <v>sa individuare i concetti chiave ma solo saltuariamente collegarli</v>
      </c>
      <c r="P28" s="171" t="str">
        <f>HLOOKUP(PROVA!P29,GRIGLIA!$D$102:$H$108,7)</f>
        <v>esprime giudizi non sempre adeguati al tema proposto, e li argomenta poco efficacemente</v>
      </c>
      <c r="Q28" s="172" t="str">
        <f>HLOOKUP(PROVA!Q29,GRIGLIA!$D$102:$H$108,2)</f>
        <v>adeguato, ricco, fluido</v>
      </c>
      <c r="R28" s="172" t="str">
        <f>HLOOKUP(PROVA!R29,GRIGLIA!$D$102:$H$108,3)</f>
        <v>adeguato, ricco, organico</v>
      </c>
      <c r="S28" s="172" t="str">
        <f>HLOOKUP(PROVA!S29,GRIGLIA!$D$102:$H$108,4)</f>
        <v>corretto ma limitato al manuale</v>
      </c>
      <c r="T28" s="172" t="str">
        <f>HLOOKUP(PROVA!T29,GRIGLIA!$D$102:$H$108,5)</f>
        <v>sa analizzare alcuni aspetti significativi del problema posto</v>
      </c>
      <c r="U28" s="172" t="str">
        <f>HLOOKUP(PROVA!U29,GRIGLIA!$D$102:$H$108,6)</f>
        <v>sa individuare i concetti chiave ma solo saltuariamente collegarli</v>
      </c>
      <c r="V28" s="173" t="str">
        <f>HLOOKUP(PROVA!V29,GRIGLIA!$D$102:$H$108,7)</f>
        <v>esprime giudizi non sempre adeguati al tema proposto, e li argomenta poco efficacemente</v>
      </c>
      <c r="W28" s="25"/>
      <c r="X28" s="7"/>
      <c r="Y28" s="7"/>
      <c r="Z28" s="10"/>
      <c r="AA28" s="7"/>
      <c r="AB28" s="7"/>
      <c r="AC28" s="7"/>
      <c r="AD28" s="7"/>
      <c r="AE28" s="7"/>
    </row>
    <row r="29" spans="1:31" ht="63.75">
      <c r="A29" s="145">
        <f>PROVA!A30</f>
        <v>5.75</v>
      </c>
      <c r="B29" s="146">
        <f>PROVA!B30</f>
        <v>9.583333333333334</v>
      </c>
      <c r="C29" s="146">
        <f>PROVA!C30</f>
        <v>21.083333333333332</v>
      </c>
      <c r="D29" s="169" t="str">
        <f>PROVA!D30</f>
        <v>studente26</v>
      </c>
      <c r="E29" s="170" t="str">
        <f>HLOOKUP(PROVA!E30,GRIGLIA!$D$102:$H$108,2)</f>
        <v>spesso scorretto o   inadeguato</v>
      </c>
      <c r="F29" s="170" t="str">
        <f>HLOOKUP(PROVA!F30,GRIGLIA!$D$102:$H$108,3)</f>
        <v>spesso incoerente</v>
      </c>
      <c r="G29" s="170" t="str">
        <f>HLOOKUP(PROVA!G30,GRIGLIA!$D$102:$H$108,4)</f>
        <v>solo parziale e non sempre corretto</v>
      </c>
      <c r="H29" s="170" t="str">
        <f>HLOOKUP(PROVA!H30,GRIGLIA!$D$102:$H$108,5)</f>
        <v>non sa analizzare gli aspetti significativi del problema posto</v>
      </c>
      <c r="I29" s="170" t="str">
        <f>HLOOKUP(PROVA!I30,GRIGLIA!$D$102:$H$108,6)</f>
        <v>sa individuare i concetti chiave ma non collegarli</v>
      </c>
      <c r="J29" s="170" t="str">
        <f>HLOOKUP(PROVA!J30,GRIGLIA!$D$102:$H$108,7)</f>
        <v>esprime giudizi in forma definitoria e senza argomentazioni</v>
      </c>
      <c r="K29" s="171" t="str">
        <f>HLOOKUP(PROVA!K30,GRIGLIA!$D$102:$H$108,2)</f>
        <v>adeguato, ricco, fluido</v>
      </c>
      <c r="L29" s="171" t="str">
        <f>HLOOKUP(PROVA!L30,GRIGLIA!$D$102:$H$108,3)</f>
        <v>adeguato, ricco, organico</v>
      </c>
      <c r="M29" s="171" t="str">
        <f>HLOOKUP(PROVA!M30,GRIGLIA!$D$102:$H$108,4)</f>
        <v>corretto ma limitato al manuale</v>
      </c>
      <c r="N29" s="171" t="str">
        <f>HLOOKUP(PROVA!N30,GRIGLIA!$D$102:$H$108,5)</f>
        <v>sa analizzare alcuni aspetti significativi del problema posto</v>
      </c>
      <c r="O29" s="171" t="str">
        <f>HLOOKUP(PROVA!O30,GRIGLIA!$D$102:$H$108,6)</f>
        <v>sa individuare i concetti chiave ma solo saltuariamente collegarli</v>
      </c>
      <c r="P29" s="171" t="str">
        <f>HLOOKUP(PROVA!P30,GRIGLIA!$D$102:$H$108,7)</f>
        <v>esprime giudizi non sempre adeguati al tema proposto, e li argomenta poco efficacemente</v>
      </c>
      <c r="Q29" s="172" t="str">
        <f>HLOOKUP(PROVA!Q30,GRIGLIA!$D$102:$H$108,2)</f>
        <v>adeguato, ricco, fluido</v>
      </c>
      <c r="R29" s="172" t="str">
        <f>HLOOKUP(PROVA!R30,GRIGLIA!$D$102:$H$108,3)</f>
        <v>adeguato, ricco, organico</v>
      </c>
      <c r="S29" s="172" t="str">
        <f>HLOOKUP(PROVA!S30,GRIGLIA!$D$102:$H$108,4)</f>
        <v>corretto ma limitato al manuale</v>
      </c>
      <c r="T29" s="172" t="str">
        <f>HLOOKUP(PROVA!T30,GRIGLIA!$D$102:$H$108,5)</f>
        <v>sa analizzare alcuni aspetti significativi del problema posto</v>
      </c>
      <c r="U29" s="172" t="str">
        <f>HLOOKUP(PROVA!U30,GRIGLIA!$D$102:$H$108,6)</f>
        <v>sa individuare i concetti chiave ma solo saltuariamente collegarli</v>
      </c>
      <c r="V29" s="173" t="str">
        <f>HLOOKUP(PROVA!V30,GRIGLIA!$D$102:$H$108,7)</f>
        <v>esprime giudizi non sempre adeguati al tema proposto, e li argomenta poco efficacemente</v>
      </c>
      <c r="W29" s="25"/>
      <c r="X29" s="7"/>
      <c r="Y29" s="7"/>
      <c r="Z29" s="10"/>
      <c r="AA29" s="7"/>
      <c r="AB29" s="7"/>
      <c r="AC29" s="7"/>
      <c r="AD29" s="7"/>
      <c r="AE29" s="7"/>
    </row>
    <row r="30" spans="1:31" ht="51.75" thickBot="1">
      <c r="A30" s="157">
        <f>PROVA!A31</f>
        <v>10</v>
      </c>
      <c r="B30" s="158">
        <f>PROVA!B31</f>
        <v>15</v>
      </c>
      <c r="C30" s="158">
        <f>PROVA!C31</f>
        <v>35</v>
      </c>
      <c r="D30" s="174" t="str">
        <f>PROVA!D31</f>
        <v>studente27</v>
      </c>
      <c r="E30" s="175" t="str">
        <f>HLOOKUP(PROVA!E31,GRIGLIA!$D$102:$H$108,2)</f>
        <v>adeguato, ricco, fluido</v>
      </c>
      <c r="F30" s="175" t="str">
        <f>HLOOKUP(PROVA!F31,GRIGLIA!$D$102:$H$108,3)</f>
        <v>adeguato, ricco, organico</v>
      </c>
      <c r="G30" s="175" t="str">
        <f>HLOOKUP(PROVA!G31,GRIGLIA!$D$102:$H$108,4)</f>
        <v>ampio  e approfondito</v>
      </c>
      <c r="H30" s="175" t="str">
        <f>HLOOKUP(PROVA!H31,GRIGLIA!$D$102:$H$108,5)</f>
        <v>sa analizzare i vari aspetti significativi del problema posto</v>
      </c>
      <c r="I30" s="175" t="str">
        <f>HLOOKUP(PROVA!I31,GRIGLIA!$D$102:$H$108,6)</f>
        <v>sa individuare concetti chiave e stabilire efficaci collegamenti</v>
      </c>
      <c r="J30" s="175" t="str">
        <f>HLOOKUP(PROVA!J31,GRIGLIA!$D$102:$H$108,7)</f>
        <v>esprime giudizi adeguati e li argomenta efficacemente</v>
      </c>
      <c r="K30" s="176" t="str">
        <f>HLOOKUP(PROVA!K31,GRIGLIA!$D$102:$H$108,2)</f>
        <v>adeguato, ricco, fluido</v>
      </c>
      <c r="L30" s="176" t="str">
        <f>HLOOKUP(PROVA!L31,GRIGLIA!$D$102:$H$108,3)</f>
        <v>adeguato, ricco, organico</v>
      </c>
      <c r="M30" s="176" t="str">
        <f>HLOOKUP(PROVA!M31,GRIGLIA!$D$102:$H$108,4)</f>
        <v>ampio  e approfondito</v>
      </c>
      <c r="N30" s="176" t="str">
        <f>HLOOKUP(PROVA!N31,GRIGLIA!$D$102:$H$108,5)</f>
        <v>sa analizzare i vari aspetti significativi del problema posto</v>
      </c>
      <c r="O30" s="176" t="str">
        <f>HLOOKUP(PROVA!O31,GRIGLIA!$D$102:$H$108,6)</f>
        <v>sa individuare concetti chiave e stabilire efficaci collegamenti</v>
      </c>
      <c r="P30" s="176" t="str">
        <f>HLOOKUP(PROVA!P31,GRIGLIA!$D$102:$H$108,7)</f>
        <v>esprime giudizi adeguati e li argomenta efficacemente</v>
      </c>
      <c r="Q30" s="177" t="str">
        <f>HLOOKUP(PROVA!Q31,GRIGLIA!$D$102:$H$108,2)</f>
        <v>adeguato, ricco, fluido</v>
      </c>
      <c r="R30" s="177" t="str">
        <f>HLOOKUP(PROVA!R31,GRIGLIA!$D$102:$H$108,3)</f>
        <v>adeguato, ricco, organico</v>
      </c>
      <c r="S30" s="177" t="str">
        <f>HLOOKUP(PROVA!S31,GRIGLIA!$D$102:$H$108,4)</f>
        <v>ampio  e approfondito</v>
      </c>
      <c r="T30" s="177" t="str">
        <f>HLOOKUP(PROVA!T31,GRIGLIA!$D$102:$H$108,5)</f>
        <v>sa analizzare i vari aspetti significativi del problema posto</v>
      </c>
      <c r="U30" s="177" t="str">
        <f>HLOOKUP(PROVA!U31,GRIGLIA!$D$102:$H$108,6)</f>
        <v>sa individuare concetti chiave e stabilire efficaci collegamenti</v>
      </c>
      <c r="V30" s="178" t="str">
        <f>HLOOKUP(PROVA!V31,GRIGLIA!$D$102:$H$108,7)</f>
        <v>esprime giudizi adeguati e li argomenta efficacemente</v>
      </c>
      <c r="W30" s="25"/>
      <c r="X30" s="7"/>
      <c r="Y30" s="7"/>
      <c r="Z30" s="10"/>
      <c r="AA30" s="7"/>
      <c r="AB30" s="7"/>
      <c r="AC30" s="7"/>
      <c r="AD30" s="7"/>
      <c r="AE30" s="7"/>
    </row>
    <row r="31" spans="4:31" ht="12.75">
      <c r="D31" s="1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  <c r="Y31" s="7"/>
      <c r="Z31" s="10"/>
      <c r="AA31" s="7"/>
      <c r="AB31" s="7"/>
      <c r="AC31" s="7"/>
      <c r="AD31" s="7"/>
      <c r="AE31" s="7"/>
    </row>
    <row r="32" spans="4:66" ht="12.75">
      <c r="D32" s="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7"/>
      <c r="Z32" s="28"/>
      <c r="AA32" s="27"/>
      <c r="AB32" s="27"/>
      <c r="AC32" s="27"/>
      <c r="AD32" s="27"/>
      <c r="AE32" s="27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5:66" ht="15.75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7"/>
      <c r="Y33" s="27"/>
      <c r="Z33" s="28"/>
      <c r="AA33" s="27"/>
      <c r="AB33" s="27"/>
      <c r="AC33" s="27"/>
      <c r="AD33" s="27"/>
      <c r="AE33" s="27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5:66" ht="12.7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2"/>
      <c r="Y34" s="12"/>
      <c r="Z34" s="28"/>
      <c r="AA34" s="27"/>
      <c r="AB34" s="27"/>
      <c r="AC34" s="27"/>
      <c r="AD34" s="27"/>
      <c r="AE34" s="27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4:66" s="3" customFormat="1" ht="15.75">
      <c r="D35" s="1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2"/>
      <c r="Z35" s="28"/>
      <c r="AA35" s="27"/>
      <c r="AB35" s="27"/>
      <c r="AC35" s="32"/>
      <c r="AD35" s="32"/>
      <c r="AE35" s="32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</row>
    <row r="36" spans="4:66" s="3" customFormat="1" ht="13.5">
      <c r="D36" s="19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  <c r="Z36" s="28"/>
      <c r="AA36" s="27"/>
      <c r="AB36" s="27"/>
      <c r="AC36" s="32"/>
      <c r="AD36" s="32"/>
      <c r="AE36" s="32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</row>
    <row r="37" spans="4:66" ht="12.75"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7"/>
      <c r="Y37" s="27"/>
      <c r="Z37" s="28"/>
      <c r="AA37" s="27"/>
      <c r="AB37" s="27"/>
      <c r="AC37" s="27"/>
      <c r="AD37" s="27"/>
      <c r="AE37" s="27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4:66" ht="12.75"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7"/>
      <c r="Y38" s="27"/>
      <c r="Z38" s="28"/>
      <c r="AA38" s="27"/>
      <c r="AB38" s="27"/>
      <c r="AC38" s="27"/>
      <c r="AD38" s="27"/>
      <c r="AE38" s="27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4:66" ht="12.75"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7"/>
      <c r="Y39" s="27"/>
      <c r="Z39" s="28"/>
      <c r="AA39" s="27"/>
      <c r="AB39" s="27"/>
      <c r="AC39" s="27"/>
      <c r="AD39" s="27"/>
      <c r="AE39" s="27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4:66" ht="12.75">
      <c r="D40" s="2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7"/>
      <c r="Y40" s="27"/>
      <c r="Z40" s="28"/>
      <c r="AA40" s="27"/>
      <c r="AB40" s="27"/>
      <c r="AC40" s="27"/>
      <c r="AD40" s="27"/>
      <c r="AE40" s="27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4:66" ht="12.75">
      <c r="D41" s="2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7"/>
      <c r="Y41" s="27"/>
      <c r="Z41" s="28"/>
      <c r="AA41" s="27"/>
      <c r="AB41" s="12"/>
      <c r="AC41" s="27"/>
      <c r="AD41" s="27"/>
      <c r="AE41" s="2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4:31" ht="12.75">
      <c r="D42" s="2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  <c r="Y42" s="7"/>
      <c r="Z42" s="10"/>
      <c r="AA42" s="7"/>
      <c r="AC42" s="7"/>
      <c r="AD42" s="7"/>
      <c r="AE42" s="7"/>
    </row>
    <row r="43" spans="4:31" ht="12.75">
      <c r="D43" s="2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  <c r="Y43" s="7"/>
      <c r="Z43" s="10"/>
      <c r="AA43" s="7"/>
      <c r="AB43" s="7"/>
      <c r="AC43" s="7"/>
      <c r="AD43" s="7"/>
      <c r="AE43" s="7"/>
    </row>
    <row r="44" spans="4:31" ht="12.75">
      <c r="D44" s="2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"/>
      <c r="Y44" s="7"/>
      <c r="Z44" s="10"/>
      <c r="AA44" s="7"/>
      <c r="AB44" s="7"/>
      <c r="AC44" s="7"/>
      <c r="AD44" s="7"/>
      <c r="AE44" s="7"/>
    </row>
    <row r="45" spans="4:31" ht="12.75">
      <c r="D45" s="2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7"/>
      <c r="Z45" s="7"/>
      <c r="AA45" s="7"/>
      <c r="AB45" s="7"/>
      <c r="AC45" s="7"/>
      <c r="AD45" s="7"/>
      <c r="AE45" s="7"/>
    </row>
    <row r="46" spans="4:31" ht="12.75">
      <c r="D46" s="2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7"/>
      <c r="Y46" s="7"/>
      <c r="Z46" s="7"/>
      <c r="AA46" s="7"/>
      <c r="AB46" s="7"/>
      <c r="AC46" s="7"/>
      <c r="AD46" s="7"/>
      <c r="AE46" s="7"/>
    </row>
    <row r="47" spans="4:31" ht="12.75">
      <c r="D47" s="2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7"/>
      <c r="Y47" s="7"/>
      <c r="Z47" s="7"/>
      <c r="AA47" s="7"/>
      <c r="AB47" s="7"/>
      <c r="AC47" s="7"/>
      <c r="AD47" s="7"/>
      <c r="AE47" s="7"/>
    </row>
    <row r="48" spans="4:75" ht="12.75"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7"/>
      <c r="Y48" s="27"/>
      <c r="Z48" s="27"/>
      <c r="AA48" s="27"/>
      <c r="AB48" s="27"/>
      <c r="AC48" s="27"/>
      <c r="AD48" s="27"/>
      <c r="AE48" s="27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4:75" ht="12.75"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7"/>
      <c r="Y49" s="27"/>
      <c r="Z49" s="27"/>
      <c r="AA49" s="27"/>
      <c r="AB49" s="27"/>
      <c r="AC49" s="27"/>
      <c r="AD49" s="27"/>
      <c r="AE49" s="27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4:75" ht="12.75"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7"/>
      <c r="Y50" s="27"/>
      <c r="Z50" s="27"/>
      <c r="AA50" s="27"/>
      <c r="AB50" s="27"/>
      <c r="AC50" s="27"/>
      <c r="AD50" s="27"/>
      <c r="AE50" s="27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4:75" ht="12.75"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7"/>
      <c r="Y51" s="27"/>
      <c r="Z51" s="27"/>
      <c r="AA51" s="27"/>
      <c r="AB51" s="27"/>
      <c r="AC51" s="27"/>
      <c r="AD51" s="27"/>
      <c r="AE51" s="27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4:75" ht="12.75"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7"/>
      <c r="Y52" s="27"/>
      <c r="Z52" s="27"/>
      <c r="AA52" s="27"/>
      <c r="AB52" s="27"/>
      <c r="AC52" s="27"/>
      <c r="AD52" s="27"/>
      <c r="AE52" s="27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4:75" s="3" customFormat="1" ht="12.75"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2"/>
      <c r="Y53" s="32"/>
      <c r="Z53" s="27"/>
      <c r="AA53" s="27"/>
      <c r="AB53" s="32"/>
      <c r="AC53" s="32"/>
      <c r="AD53" s="32"/>
      <c r="AE53" s="32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</row>
    <row r="54" spans="4:75" s="3" customFormat="1" ht="12.75"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2"/>
      <c r="Y54" s="32"/>
      <c r="Z54" s="27"/>
      <c r="AA54" s="27"/>
      <c r="AB54" s="32"/>
      <c r="AC54" s="32"/>
      <c r="AD54" s="32"/>
      <c r="AE54" s="32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</row>
    <row r="55" spans="4:75" s="3" customFormat="1" ht="12.75"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32"/>
      <c r="Y55" s="32"/>
      <c r="Z55" s="27"/>
      <c r="AA55" s="27"/>
      <c r="AB55" s="32"/>
      <c r="AC55" s="32"/>
      <c r="AD55" s="32"/>
      <c r="AE55" s="32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</row>
    <row r="56" spans="4:75" s="3" customFormat="1" ht="12.75">
      <c r="D56" s="2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32"/>
      <c r="Y56" s="32"/>
      <c r="Z56" s="27"/>
      <c r="AA56" s="27"/>
      <c r="AB56" s="32"/>
      <c r="AC56" s="32"/>
      <c r="AD56" s="32"/>
      <c r="AE56" s="32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</row>
    <row r="57" spans="4:75" s="3" customFormat="1" ht="12.75">
      <c r="D57" s="2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32"/>
      <c r="Y57" s="32"/>
      <c r="Z57" s="27"/>
      <c r="AA57" s="27"/>
      <c r="AB57" s="32"/>
      <c r="AC57" s="32"/>
      <c r="AD57" s="32"/>
      <c r="AE57" s="32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</row>
    <row r="58" spans="4:75" s="3" customFormat="1" ht="12.75">
      <c r="D58" s="2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32"/>
      <c r="Y58" s="32"/>
      <c r="Z58" s="27"/>
      <c r="AA58" s="27"/>
      <c r="AB58" s="32"/>
      <c r="AC58" s="32"/>
      <c r="AD58" s="32"/>
      <c r="AE58" s="32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</row>
    <row r="59" spans="4:75" s="3" customFormat="1" ht="12.75">
      <c r="D59" s="20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32"/>
      <c r="Y59" s="32"/>
      <c r="Z59" s="27"/>
      <c r="AA59" s="27"/>
      <c r="AB59" s="32"/>
      <c r="AC59" s="32"/>
      <c r="AD59" s="32"/>
      <c r="AE59" s="32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</row>
    <row r="60" spans="4:75" s="3" customFormat="1" ht="12.75">
      <c r="D60" s="2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2"/>
      <c r="Y60" s="32"/>
      <c r="Z60" s="27"/>
      <c r="AA60" s="27"/>
      <c r="AB60" s="32"/>
      <c r="AC60" s="32"/>
      <c r="AD60" s="32"/>
      <c r="AE60" s="32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</row>
    <row r="61" spans="4:75" ht="12.75">
      <c r="D61" s="2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7"/>
      <c r="Y61" s="27"/>
      <c r="Z61" s="27"/>
      <c r="AA61" s="27"/>
      <c r="AB61" s="27"/>
      <c r="AC61" s="27"/>
      <c r="AD61" s="27"/>
      <c r="AE61" s="27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</row>
    <row r="62" spans="4:75" ht="12.75">
      <c r="D62" s="2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7"/>
      <c r="Y62" s="27"/>
      <c r="Z62" s="27"/>
      <c r="AA62" s="27"/>
      <c r="AB62" s="27"/>
      <c r="AC62" s="27"/>
      <c r="AD62" s="27"/>
      <c r="AE62" s="27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</row>
    <row r="63" spans="4:75" ht="12.75">
      <c r="D63" s="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  <c r="Y63" s="27"/>
      <c r="Z63" s="27"/>
      <c r="AA63" s="27"/>
      <c r="AB63" s="27"/>
      <c r="AC63" s="27"/>
      <c r="AD63" s="27"/>
      <c r="AE63" s="27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</row>
    <row r="64" spans="4:75" ht="12.75">
      <c r="D64" s="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7"/>
      <c r="Y64" s="27"/>
      <c r="Z64" s="27"/>
      <c r="AA64" s="27"/>
      <c r="AB64" s="27"/>
      <c r="AC64" s="27"/>
      <c r="AD64" s="27"/>
      <c r="AE64" s="27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</row>
    <row r="65" spans="4:75" ht="12.75">
      <c r="D65" s="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7"/>
      <c r="Y65" s="27"/>
      <c r="Z65" s="27"/>
      <c r="AA65" s="27"/>
      <c r="AB65" s="27"/>
      <c r="AC65" s="27"/>
      <c r="AD65" s="27"/>
      <c r="AE65" s="27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</row>
    <row r="66" spans="4:75" ht="12.75">
      <c r="D66" s="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</row>
    <row r="67" spans="4:75" ht="12.75">
      <c r="D67" s="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</row>
    <row r="68" spans="4:75" ht="15.75">
      <c r="D68" s="7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2"/>
      <c r="Y68" s="32"/>
      <c r="Z68" s="27"/>
      <c r="AA68" s="27"/>
      <c r="AB68" s="27"/>
      <c r="AC68" s="27"/>
      <c r="AD68" s="27"/>
      <c r="AE68" s="27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</row>
    <row r="69" spans="4:75" ht="13.5">
      <c r="D69" s="11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2"/>
      <c r="Y69" s="32"/>
      <c r="Z69" s="27"/>
      <c r="AA69" s="27"/>
      <c r="AB69" s="27"/>
      <c r="AC69" s="27"/>
      <c r="AD69" s="27"/>
      <c r="AE69" s="27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</row>
    <row r="70" spans="4:75" ht="12.75">
      <c r="D70" s="6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38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</row>
    <row r="71" spans="4:75" ht="12.75">
      <c r="D71" s="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38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</row>
    <row r="72" spans="4:75" ht="12.75">
      <c r="D72" s="6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38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</row>
    <row r="73" spans="4:75" ht="12.75">
      <c r="D73" s="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38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</row>
    <row r="74" spans="4:75" ht="12.75">
      <c r="D74" s="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38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</row>
    <row r="75" spans="4:75" ht="12.75">
      <c r="D75" s="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38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</row>
    <row r="76" spans="5:75" ht="13.5"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</row>
    <row r="77" spans="4:75" ht="12.75">
      <c r="D77" s="13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39"/>
      <c r="X77" s="4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</row>
    <row r="78" spans="4:75" ht="12.75">
      <c r="D78" s="13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39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</row>
    <row r="79" spans="4:75" ht="12.75">
      <c r="D79" s="13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39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</row>
    <row r="80" spans="4:75" ht="12.75">
      <c r="D80" s="13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39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</row>
    <row r="81" spans="4:75" ht="12.75">
      <c r="D81" s="13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39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</row>
    <row r="82" spans="4:75" ht="12.75">
      <c r="D82" s="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</row>
    <row r="83" spans="5:75" ht="13.5"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</row>
    <row r="84" spans="4:75" ht="12.75"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</row>
    <row r="85" spans="4:75" ht="12.75">
      <c r="D85" s="1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</row>
    <row r="86" spans="4:75" ht="12.75"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</row>
    <row r="87" spans="4:75" ht="12.75">
      <c r="D87" s="1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</row>
    <row r="88" spans="4:75" ht="12.75">
      <c r="D88" s="1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</row>
    <row r="89" spans="4:75" ht="12.75"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</row>
    <row r="90" spans="5:75" ht="12.7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</row>
    <row r="91" spans="5:75" ht="12.75"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</row>
    <row r="92" spans="5:75" ht="12.7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</row>
    <row r="93" spans="4:75" ht="13.5">
      <c r="D93" s="13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</row>
    <row r="94" spans="4:75" ht="12.75"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</row>
    <row r="95" spans="4:75" ht="12.75">
      <c r="D95" s="1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</row>
    <row r="96" spans="4:75" ht="12.75">
      <c r="D96" s="1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</row>
    <row r="97" spans="4:75" ht="12.75">
      <c r="D97" s="13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</row>
    <row r="98" spans="5:75" ht="12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</row>
    <row r="99" spans="5:75" ht="12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</row>
    <row r="100" spans="5:75" ht="12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</row>
    <row r="101" spans="5:75" ht="12.7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</row>
    <row r="102" spans="5:75" ht="12.7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</row>
    <row r="103" spans="5:75" ht="12.7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</row>
  </sheetData>
  <sheetProtection sheet="1" objects="1" scenarios="1"/>
  <mergeCells count="6">
    <mergeCell ref="E1:J1"/>
    <mergeCell ref="K1:P1"/>
    <mergeCell ref="Q1:V1"/>
    <mergeCell ref="A1:A3"/>
    <mergeCell ref="B1:B3"/>
    <mergeCell ref="C1:C3"/>
  </mergeCells>
  <printOptions gridLines="1"/>
  <pageMargins left="0.75" right="0.75" top="1" bottom="1" header="0.5" footer="0.5"/>
  <pageSetup orientation="landscape" pageOrder="overThenDown" paperSize="9" r:id="rId1"/>
  <colBreaks count="2" manualBreakCount="2">
    <brk id="10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Carla Stefani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Stefani</dc:creator>
  <cp:keywords/>
  <dc:description/>
  <cp:lastModifiedBy>Giampaolo</cp:lastModifiedBy>
  <cp:lastPrinted>2002-11-20T16:46:21Z</cp:lastPrinted>
  <dcterms:created xsi:type="dcterms:W3CDTF">1999-03-11T16:04:20Z</dcterms:created>
  <dcterms:modified xsi:type="dcterms:W3CDTF">2002-11-21T08:32:23Z</dcterms:modified>
  <cp:category/>
  <cp:version/>
  <cp:contentType/>
  <cp:contentStatus/>
</cp:coreProperties>
</file>