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Dati" sheetId="1" r:id="rId1"/>
    <sheet name="Carico bestiame" sheetId="2" r:id="rId2"/>
    <sheet name="Utile lordo di stalla" sheetId="3" r:id="rId3"/>
    <sheet name="PLV" sheetId="4" r:id="rId4"/>
    <sheet name="Scorte vive e morte" sheetId="5" r:id="rId5"/>
    <sheet name="Spese di produzione" sheetId="6" r:id="rId6"/>
    <sheet name="Impo. BI" sheetId="7" r:id="rId7"/>
    <sheet name="ICI" sheetId="8" r:id="rId8"/>
    <sheet name="Riepilogo" sheetId="9" r:id="rId9"/>
  </sheets>
  <externalReferences>
    <externalReference r:id="rId12"/>
  </externalReferences>
  <definedNames/>
  <calcPr fullCalcOnLoad="1"/>
</workbook>
</file>

<file path=xl/comments2.xml><?xml version="1.0" encoding="utf-8"?>
<comments xmlns="http://schemas.openxmlformats.org/spreadsheetml/2006/main">
  <authors>
    <author>agrario1</author>
  </authors>
  <commentList>
    <comment ref="A20" authorId="0">
      <text>
        <r>
          <rPr>
            <b/>
            <sz val="8"/>
            <color indexed="12"/>
            <rFont val="Tahoma"/>
            <family val="2"/>
          </rPr>
          <t>si può considerare un numero diverso di lattazioni.
In tal caso nella casella B21 va sostituito il denominatore con il numero di lattazioni specifico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<sst xmlns="http://schemas.openxmlformats.org/spreadsheetml/2006/main" count="230" uniqueCount="178">
  <si>
    <t>BILANCIO  PREVENTIVO dell’Azienda Agraria "San Benedetto" anno 2002</t>
  </si>
  <si>
    <r>
      <t>Istruzioni per la compilazione: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prima di inserire nuovi valori, posizionare il cursore sulla cella desiderata e verificare che non ci sia una formula, in quanto queste ultime sono volutamente non protette; infatti viene lasciata la possibilità di modificare le formule, qualora si sia a conoscenza di metodi alternativi per il calcolo delle voci di bilancio. In definitiva è preferibile sostituire solo quei valori inerenti l'azienda da valutare.</t>
    </r>
  </si>
  <si>
    <r>
      <t xml:space="preserve">Quadro n° 1             </t>
    </r>
    <r>
      <rPr>
        <b/>
        <u val="single"/>
        <sz val="10"/>
        <color indexed="12"/>
        <rFont val="Arial"/>
        <family val="2"/>
      </rPr>
      <t>Dati catastali</t>
    </r>
  </si>
  <si>
    <t>N°</t>
  </si>
  <si>
    <t>particella</t>
  </si>
  <si>
    <t>Qualità</t>
  </si>
  <si>
    <t>classe</t>
  </si>
  <si>
    <t>Superficie</t>
  </si>
  <si>
    <t>R E D D I T O</t>
  </si>
  <si>
    <t>Ha</t>
  </si>
  <si>
    <t>domenicale</t>
  </si>
  <si>
    <t>Agrario</t>
  </si>
  <si>
    <t>Seminativo</t>
  </si>
  <si>
    <t xml:space="preserve">         “</t>
  </si>
  <si>
    <t>Pascolo cespugliato</t>
  </si>
  <si>
    <t>Seminativo arborato</t>
  </si>
  <si>
    <t>Bosco di alto fusto</t>
  </si>
  <si>
    <t>Fabbricati Rurali</t>
  </si>
  <si>
    <t xml:space="preserve">                       Totale             </t>
  </si>
  <si>
    <r>
      <t>Quadro n° 2</t>
    </r>
    <r>
      <rPr>
        <sz val="10"/>
        <color indexed="12"/>
        <rFont val="Arial"/>
        <family val="2"/>
      </rPr>
      <t xml:space="preserve">             </t>
    </r>
    <r>
      <rPr>
        <b/>
        <u val="single"/>
        <sz val="10"/>
        <color indexed="12"/>
        <rFont val="Arial"/>
        <family val="2"/>
      </rPr>
      <t xml:space="preserve"> Riparto superficie</t>
    </r>
    <r>
      <rPr>
        <sz val="10"/>
        <color indexed="12"/>
        <rFont val="Arial"/>
        <family val="2"/>
      </rPr>
      <t xml:space="preserve"> </t>
    </r>
  </si>
  <si>
    <t>ha</t>
  </si>
  <si>
    <t>Sup.totale</t>
  </si>
  <si>
    <r>
      <t>Rotazione quinquennale:      R-M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-M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-M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-G</t>
    </r>
  </si>
  <si>
    <t>Tare  improduttive</t>
  </si>
  <si>
    <t>Rinnovo: Mais</t>
  </si>
  <si>
    <t>Sup.Produttiva</t>
  </si>
  <si>
    <t>Medica 1°-2°-3° anno</t>
  </si>
  <si>
    <t>Tare produttive</t>
  </si>
  <si>
    <t>Grano</t>
  </si>
  <si>
    <t>Carico di bestiame</t>
  </si>
  <si>
    <t>Calcolo in fieno normale</t>
  </si>
  <si>
    <t xml:space="preserve"> </t>
  </si>
  <si>
    <t>Coltura</t>
  </si>
  <si>
    <t>Sup.ha</t>
  </si>
  <si>
    <t>Produzione  Qli</t>
  </si>
  <si>
    <t>UF/qli</t>
  </si>
  <si>
    <t>UF Totali</t>
  </si>
  <si>
    <t>Unitaria</t>
  </si>
  <si>
    <t>Totale</t>
  </si>
  <si>
    <t>Medica  1°  anno</t>
  </si>
  <si>
    <t>Medica 2°  anno</t>
  </si>
  <si>
    <t>Medica  3°  anno</t>
  </si>
  <si>
    <t>Mais  Insilato</t>
  </si>
  <si>
    <t>Totale unità foraggere disponibili</t>
  </si>
  <si>
    <t>DETERMINAZIONE  DEL  P. V. M. ( peso vivo mantenibile )</t>
  </si>
  <si>
    <t>Sapendo che un capo adulto di razza Frisona Italiana consuma 11 / 12  volte il proprio peso avremo:</t>
  </si>
  <si>
    <t>UF</t>
  </si>
  <si>
    <t>Qli pvm</t>
  </si>
  <si>
    <t>Sapendo che il peso medio di un capo è di 6 qli si avrà:</t>
  </si>
  <si>
    <t>n° Vacche (arrotondato)</t>
  </si>
  <si>
    <r>
      <t xml:space="preserve">La </t>
    </r>
    <r>
      <rPr>
        <b/>
        <u val="single"/>
        <sz val="12"/>
        <rFont val="Times New Roman"/>
        <family val="1"/>
      </rPr>
      <t>Rimonta</t>
    </r>
    <r>
      <rPr>
        <sz val="12"/>
        <rFont val="Times New Roman"/>
        <family val="1"/>
      </rPr>
      <t xml:space="preserve"> viene effettuata esternamente con manze gravide.                                                              Calcolando una media di quattro (</t>
    </r>
    <r>
      <rPr>
        <b/>
        <sz val="12"/>
        <rFont val="Times New Roman"/>
        <family val="1"/>
      </rPr>
      <t>4</t>
    </r>
    <r>
      <rPr>
        <sz val="12"/>
        <rFont val="Times New Roman"/>
        <family val="1"/>
      </rPr>
      <t>) lattazione avremo:</t>
    </r>
  </si>
  <si>
    <t>manze l'anno da acquistare al prezzo di € 1.800.00</t>
  </si>
  <si>
    <r>
      <t xml:space="preserve"> Dalle 130 vacche si avranno ~  117</t>
    </r>
    <r>
      <rPr>
        <b/>
        <u val="single"/>
        <sz val="12"/>
        <rFont val="Times New Roman"/>
        <family val="1"/>
      </rPr>
      <t xml:space="preserve"> vitelli</t>
    </r>
    <r>
      <rPr>
        <sz val="12"/>
        <rFont val="Times New Roman"/>
        <family val="1"/>
      </rPr>
      <t xml:space="preserve">  ( natalità  90 % ) che si venderanno a 7 gg. dalla nascita a € 50,00</t>
    </r>
  </si>
  <si>
    <t>Vitelli</t>
  </si>
  <si>
    <t>UTILE  LORDO  DI  STALLA   U.L.S.</t>
  </si>
  <si>
    <t>E’ l’incremento o decremento in carne della stalla ed è dato da :</t>
  </si>
  <si>
    <t>(Consistenza finale+Vendite+Nascite)–(Consistenza iniziale+Acquisti+Morti)</t>
  </si>
  <si>
    <t>Vacche</t>
  </si>
  <si>
    <t>Vacche da scarto</t>
  </si>
  <si>
    <t>Manze</t>
  </si>
  <si>
    <t>In questo caso si avrà un disavanzo</t>
  </si>
  <si>
    <t>Produzione del Latte</t>
  </si>
  <si>
    <r>
      <t xml:space="preserve">La produzione media  annua per capo è di </t>
    </r>
    <r>
      <rPr>
        <b/>
        <sz val="12"/>
        <rFont val="Times New Roman"/>
        <family val="1"/>
      </rPr>
      <t>75 qli</t>
    </r>
    <r>
      <rPr>
        <sz val="12"/>
        <rFont val="Times New Roman"/>
        <family val="1"/>
      </rPr>
      <t xml:space="preserve"> e viene venduto a </t>
    </r>
    <r>
      <rPr>
        <b/>
        <sz val="12"/>
        <rFont val="Times New Roman"/>
        <family val="1"/>
      </rPr>
      <t>39,00 Euro qli</t>
    </r>
  </si>
  <si>
    <t>Qli</t>
  </si>
  <si>
    <t>(x n° capi)</t>
  </si>
  <si>
    <t>PRODUZIONE  LORDA  VENDIBILE     P.L.V.</t>
  </si>
  <si>
    <t>Prodotto</t>
  </si>
  <si>
    <t>Superficie Ha</t>
  </si>
  <si>
    <t>Produzione</t>
  </si>
  <si>
    <t>Parte reimpegata</t>
  </si>
  <si>
    <t>P.L.V.</t>
  </si>
  <si>
    <t>Importo</t>
  </si>
  <si>
    <t>Parziale</t>
  </si>
  <si>
    <t>Mais</t>
  </si>
  <si>
    <t>Medica</t>
  </si>
  <si>
    <t xml:space="preserve">Paglia       </t>
  </si>
  <si>
    <t>Latte</t>
  </si>
  <si>
    <t>Tot.</t>
  </si>
  <si>
    <t>ULS</t>
  </si>
  <si>
    <t>SCORTE  MORTE  E  VIVE</t>
  </si>
  <si>
    <t>DESCRIZIONE</t>
  </si>
  <si>
    <t>Quantità</t>
  </si>
  <si>
    <t>Unitario</t>
  </si>
  <si>
    <r>
      <t>Scorte vive</t>
    </r>
    <r>
      <rPr>
        <sz val="12"/>
        <rFont val="Times New Roman"/>
        <family val="1"/>
      </rPr>
      <t>: vacche</t>
    </r>
  </si>
  <si>
    <t>vitelli</t>
  </si>
  <si>
    <r>
      <t>Scorte morte</t>
    </r>
    <r>
      <rPr>
        <sz val="12"/>
        <rFont val="Times New Roman"/>
        <family val="1"/>
      </rPr>
      <t xml:space="preserve">: Macchine e attrezzi </t>
    </r>
  </si>
  <si>
    <t>Fieno  qli 8600: 2</t>
  </si>
  <si>
    <t>Paglia  qli 320 : 2</t>
  </si>
  <si>
    <t xml:space="preserve">Letame ( 130 x 6q x 10 coeff.): 2 Si considera di vuotare la concimaia 2 volte l’anno               </t>
  </si>
  <si>
    <t>Mais Insilato  ql 8.400 : 2</t>
  </si>
  <si>
    <t>Totale  Euro</t>
  </si>
  <si>
    <r>
      <t>PIANO DI CONCIMAZIONE COLTURE</t>
    </r>
    <r>
      <rPr>
        <sz val="12"/>
        <color indexed="12"/>
        <rFont val="Times New Roman"/>
        <family val="1"/>
      </rPr>
      <t xml:space="preserve"> </t>
    </r>
  </si>
  <si>
    <t>I 6075 ql di letame vengono distribuiti sia ai 14 ha di mais sia ai 33 ha della medica con una quantità pari a  ca 300 ql/ha</t>
  </si>
  <si>
    <t>Fosfato biammonico</t>
  </si>
  <si>
    <t>ql</t>
  </si>
  <si>
    <t>Perfosfato triplo</t>
  </si>
  <si>
    <t>Solfato Potassico</t>
  </si>
  <si>
    <t>Urea copertura</t>
  </si>
  <si>
    <t>Totale X 14 Ha coltura</t>
  </si>
  <si>
    <t>Solfato potassico</t>
  </si>
  <si>
    <t>Nitrato ammonico</t>
  </si>
  <si>
    <t>Totale X  8 Ha coltura</t>
  </si>
  <si>
    <t>Urea</t>
  </si>
  <si>
    <t>ql x 33 Ha</t>
  </si>
  <si>
    <t>SPESE  VARIE</t>
  </si>
  <si>
    <t>Descrizione</t>
  </si>
  <si>
    <t>Importo Parziale €</t>
  </si>
  <si>
    <t>Importo Totale €</t>
  </si>
  <si>
    <t>Concimi</t>
  </si>
  <si>
    <t>Sementi: grano  qli</t>
  </si>
  <si>
    <t>Medica  qli</t>
  </si>
  <si>
    <t>Mais dosi    n°</t>
  </si>
  <si>
    <t xml:space="preserve">Diserbanti e insetticidi   ha         </t>
  </si>
  <si>
    <t>Oli – grassi - combustibili</t>
  </si>
  <si>
    <t>Spese di stalla: Enel</t>
  </si>
  <si>
    <t>Veterinario n°</t>
  </si>
  <si>
    <t>Medicinali  n°</t>
  </si>
  <si>
    <t>Inseminazione artificiale  n°</t>
  </si>
  <si>
    <t>Noleggi: mietitreb. grano  qli.</t>
  </si>
  <si>
    <t>Insilaggio mais qli</t>
  </si>
  <si>
    <t>Mangimi 130 x 6 Kg x 365 gg =qli</t>
  </si>
  <si>
    <t>Varie ( tel-pesate-trasporti ecc.)</t>
  </si>
  <si>
    <r>
      <t xml:space="preserve">                               </t>
    </r>
    <r>
      <rPr>
        <b/>
        <sz val="12"/>
        <rFont val="Times New Roman"/>
        <family val="1"/>
      </rPr>
      <t xml:space="preserve">Totale </t>
    </r>
  </si>
  <si>
    <t>QUOTE</t>
  </si>
  <si>
    <t>Quota</t>
  </si>
  <si>
    <t>Capitale</t>
  </si>
  <si>
    <t>%</t>
  </si>
  <si>
    <t>Macchine e attrezzi</t>
  </si>
  <si>
    <t>Ammort. Manut.</t>
  </si>
  <si>
    <t>Ammort. Manut. Assicuraz.</t>
  </si>
  <si>
    <t>Assicurz.</t>
  </si>
  <si>
    <t>SALARI</t>
  </si>
  <si>
    <t>Tempo</t>
  </si>
  <si>
    <t>Imp. Parziale</t>
  </si>
  <si>
    <t>Importo Totale</t>
  </si>
  <si>
    <t>Salariato fisso azienda: mensilità</t>
  </si>
  <si>
    <t>Salariato avventizio az.        gg</t>
  </si>
  <si>
    <t>Salariato avventizio Stalla    gg</t>
  </si>
  <si>
    <t>STIPENDI</t>
  </si>
  <si>
    <t>Stipendio : 6 % della P.L.V.</t>
  </si>
  <si>
    <t>PLV</t>
  </si>
  <si>
    <t xml:space="preserve">IMPOSTE – TASSE – CONTRIBUTI </t>
  </si>
  <si>
    <t>IRPEF e contributi vari (% della PLV)</t>
  </si>
  <si>
    <t xml:space="preserve"> indicativo</t>
  </si>
  <si>
    <t>ICI</t>
  </si>
  <si>
    <t>Totale Tributi</t>
  </si>
  <si>
    <t>BENIFICIO  INDUSTRIALE    ( B.I. )</t>
  </si>
  <si>
    <t>Tempo mesi</t>
  </si>
  <si>
    <t>Capitale di Scorta</t>
  </si>
  <si>
    <t xml:space="preserve">      “       di Anticipazione:</t>
  </si>
  <si>
    <t>a) Sv            €139029,27</t>
  </si>
  <si>
    <t>b) Q            € 27.976,40</t>
  </si>
  <si>
    <t>c) Sa           € 54540,00</t>
  </si>
  <si>
    <t>d) St.           € 21013,20</t>
  </si>
  <si>
    <t>e) Imp.          € 9896,23</t>
  </si>
  <si>
    <r>
      <t xml:space="preserve">                         </t>
    </r>
    <r>
      <rPr>
        <b/>
        <sz val="12"/>
        <rFont val="Times New Roman"/>
        <family val="1"/>
      </rPr>
      <t xml:space="preserve">Totale </t>
    </r>
  </si>
  <si>
    <t>Calcolo ICI</t>
  </si>
  <si>
    <t>RD</t>
  </si>
  <si>
    <t>Coefficiente</t>
  </si>
  <si>
    <t>Imponibile lordo</t>
  </si>
  <si>
    <t>Coltivatore</t>
  </si>
  <si>
    <t>SI=1</t>
  </si>
  <si>
    <t>Diretto</t>
  </si>
  <si>
    <t>NO=0</t>
  </si>
  <si>
    <t>Detrazioni</t>
  </si>
  <si>
    <t>Imponibile netto</t>
  </si>
  <si>
    <t>Aliquota</t>
  </si>
  <si>
    <t>Imposta ICI</t>
  </si>
  <si>
    <t>RIEPILOGO</t>
  </si>
  <si>
    <t xml:space="preserve"> Bf  =  Plv  -  ( Sv + Q +Sa + St + Imp + Bi )</t>
  </si>
  <si>
    <t>Uscite</t>
  </si>
  <si>
    <t>Benficio fondiario</t>
  </si>
  <si>
    <t>BF =</t>
  </si>
  <si>
    <t>RN aziendale= PLV - (Sv+Q+Imp)=</t>
  </si>
  <si>
    <t>Reddito netto aziendale</t>
  </si>
  <si>
    <t>RN=</t>
  </si>
  <si>
    <r>
      <t>Nota bene</t>
    </r>
    <r>
      <rPr>
        <sz val="10"/>
        <rFont val="Arial"/>
        <family val="0"/>
      </rPr>
      <t>:</t>
    </r>
    <r>
      <rPr>
        <i/>
        <sz val="10"/>
        <color indexed="10"/>
        <rFont val="Arial"/>
        <family val="2"/>
      </rPr>
      <t>Il reddito netto si deve variare in funzione dei fattori apportati dall'imprenditore concreto</t>
    </r>
  </si>
  <si>
    <r>
      <t xml:space="preserve">Esempio: </t>
    </r>
    <r>
      <rPr>
        <b/>
        <i/>
        <sz val="10"/>
        <color indexed="9"/>
        <rFont val="Arial"/>
        <family val="2"/>
      </rPr>
      <t>per i salari, se l'imprenditore apporta lavoro manuale, tra le uscite bisogna considerare quello dei salariati esterno (fisso ed avventizio).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</si>
</sst>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[$€-2]\ #,##0.00"/>
    <numFmt numFmtId="166" formatCode="[$€-2]\ #,##0"/>
    <numFmt numFmtId="167" formatCode="&quot;€&quot;\ #.##;\-&quot;€&quot;\ #.##"/>
    <numFmt numFmtId="168" formatCode="&quot;€&quot;\ #,##0.00"/>
    <numFmt numFmtId="169" formatCode="#,##0.00\ [$€-1]"/>
  </numFmts>
  <fonts count="34">
    <font>
      <sz val="10"/>
      <name val="Arial"/>
      <family val="0"/>
    </font>
    <font>
      <b/>
      <sz val="12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2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8"/>
      <color indexed="12"/>
      <name val="Tahoma"/>
      <family val="2"/>
    </font>
    <font>
      <sz val="8"/>
      <name val="Tahoma"/>
      <family val="0"/>
    </font>
    <font>
      <b/>
      <u val="single"/>
      <sz val="10"/>
      <name val="Arial"/>
      <family val="0"/>
    </font>
    <font>
      <sz val="12"/>
      <color indexed="12"/>
      <name val="Times New Roman"/>
      <family val="1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b/>
      <i/>
      <sz val="14"/>
      <color indexed="17"/>
      <name val="Arial"/>
      <family val="2"/>
    </font>
    <font>
      <b/>
      <sz val="14"/>
      <color indexed="12"/>
      <name val="Arial"/>
      <family val="2"/>
    </font>
    <font>
      <b/>
      <sz val="14"/>
      <color indexed="53"/>
      <name val="Arial"/>
      <family val="2"/>
    </font>
    <font>
      <b/>
      <sz val="16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57"/>
      </left>
      <right style="medium">
        <color indexed="57"/>
      </right>
      <top style="double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 style="double">
        <color indexed="57"/>
      </top>
      <bottom style="medium">
        <color indexed="57"/>
      </bottom>
    </border>
    <border>
      <left style="medium">
        <color indexed="57"/>
      </left>
      <right style="double">
        <color indexed="57"/>
      </right>
      <top style="double">
        <color indexed="57"/>
      </top>
      <bottom style="medium">
        <color indexed="57"/>
      </bottom>
    </border>
    <border>
      <left style="double">
        <color indexed="57"/>
      </left>
      <right style="medium">
        <color indexed="57"/>
      </right>
      <top style="medium">
        <color indexed="57"/>
      </top>
      <bottom style="double">
        <color indexed="57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double">
        <color indexed="57"/>
      </bottom>
    </border>
    <border>
      <left style="medium">
        <color indexed="57"/>
      </left>
      <right style="double">
        <color indexed="57"/>
      </right>
      <top style="medium">
        <color indexed="57"/>
      </top>
      <bottom style="double">
        <color indexed="5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1" fontId="8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center" vertical="top" wrapText="1"/>
    </xf>
    <xf numFmtId="41" fontId="8" fillId="0" borderId="2" xfId="16" applyFont="1" applyBorder="1" applyAlignment="1">
      <alignment horizontal="center" vertical="top" wrapText="1"/>
    </xf>
    <xf numFmtId="0" fontId="0" fillId="0" borderId="0" xfId="0" applyFill="1" applyAlignment="1">
      <alignment/>
    </xf>
    <xf numFmtId="1" fontId="8" fillId="0" borderId="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3" fontId="7" fillId="0" borderId="2" xfId="0" applyNumberFormat="1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13" fillId="0" borderId="0" xfId="0" applyFont="1" applyAlignment="1">
      <alignment horizontal="right"/>
    </xf>
    <xf numFmtId="3" fontId="0" fillId="0" borderId="1" xfId="0" applyNumberFormat="1" applyBorder="1" applyAlignment="1">
      <alignment/>
    </xf>
    <xf numFmtId="1" fontId="13" fillId="0" borderId="1" xfId="0" applyNumberFormat="1" applyFont="1" applyBorder="1" applyAlignment="1">
      <alignment/>
    </xf>
    <xf numFmtId="0" fontId="8" fillId="0" borderId="0" xfId="0" applyFont="1" applyAlignment="1">
      <alignment vertical="top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5" xfId="0" applyBorder="1" applyAlignment="1">
      <alignment/>
    </xf>
    <xf numFmtId="165" fontId="0" fillId="0" borderId="5" xfId="0" applyNumberFormat="1" applyBorder="1" applyAlignment="1">
      <alignment/>
    </xf>
    <xf numFmtId="1" fontId="0" fillId="0" borderId="0" xfId="0" applyNumberFormat="1" applyAlignment="1">
      <alignment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right" vertical="top" wrapText="1"/>
    </xf>
    <xf numFmtId="165" fontId="8" fillId="0" borderId="2" xfId="0" applyNumberFormat="1" applyFont="1" applyBorder="1" applyAlignment="1">
      <alignment horizontal="center" vertical="top" wrapText="1"/>
    </xf>
    <xf numFmtId="166" fontId="8" fillId="0" borderId="2" xfId="0" applyNumberFormat="1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7" fillId="0" borderId="2" xfId="0" applyFont="1" applyBorder="1" applyAlignment="1">
      <alignment horizontal="justify" vertical="top" wrapText="1"/>
    </xf>
    <xf numFmtId="164" fontId="8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justify" vertical="top" wrapText="1"/>
    </xf>
    <xf numFmtId="3" fontId="8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167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168" fontId="0" fillId="0" borderId="0" xfId="0" applyNumberFormat="1" applyAlignment="1">
      <alignment/>
    </xf>
    <xf numFmtId="3" fontId="8" fillId="0" borderId="2" xfId="0" applyNumberFormat="1" applyFont="1" applyBorder="1" applyAlignment="1">
      <alignment horizontal="right" vertical="top" wrapText="1"/>
    </xf>
    <xf numFmtId="165" fontId="7" fillId="0" borderId="2" xfId="0" applyNumberFormat="1" applyFont="1" applyBorder="1" applyAlignment="1">
      <alignment horizontal="right" vertical="top" wrapText="1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center" vertical="center"/>
    </xf>
    <xf numFmtId="165" fontId="13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13" fillId="0" borderId="1" xfId="0" applyNumberFormat="1" applyFont="1" applyBorder="1" applyAlignment="1">
      <alignment vertical="center"/>
    </xf>
    <xf numFmtId="165" fontId="7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3" xfId="0" applyNumberFormat="1" applyBorder="1" applyAlignment="1">
      <alignment/>
    </xf>
    <xf numFmtId="0" fontId="22" fillId="0" borderId="0" xfId="0" applyFont="1" applyAlignment="1">
      <alignment/>
    </xf>
    <xf numFmtId="165" fontId="3" fillId="0" borderId="1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65" fontId="25" fillId="2" borderId="11" xfId="0" applyNumberFormat="1" applyFont="1" applyFill="1" applyBorder="1" applyAlignment="1">
      <alignment vertical="center"/>
    </xf>
    <xf numFmtId="165" fontId="26" fillId="2" borderId="12" xfId="0" applyNumberFormat="1" applyFont="1" applyFill="1" applyBorder="1" applyAlignment="1">
      <alignment vertical="center"/>
    </xf>
    <xf numFmtId="169" fontId="27" fillId="2" borderId="13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165" fontId="27" fillId="2" borderId="13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14" xfId="0" applyFont="1" applyFill="1" applyBorder="1" applyAlignment="1">
      <alignment horizontal="justify" vertical="center" wrapText="1"/>
    </xf>
    <xf numFmtId="0" fontId="0" fillId="0" borderId="15" xfId="0" applyFill="1" applyBorder="1" applyAlignment="1">
      <alignment horizontal="justify" vertical="center" wrapText="1"/>
    </xf>
    <xf numFmtId="0" fontId="0" fillId="0" borderId="16" xfId="0" applyFill="1" applyBorder="1" applyAlignment="1">
      <alignment horizontal="justify" vertical="center" wrapText="1"/>
    </xf>
    <xf numFmtId="0" fontId="0" fillId="0" borderId="17" xfId="0" applyFill="1" applyBorder="1" applyAlignment="1">
      <alignment horizontal="justify" vertical="center" wrapText="1"/>
    </xf>
    <xf numFmtId="0" fontId="0" fillId="0" borderId="5" xfId="0" applyFill="1" applyBorder="1" applyAlignment="1">
      <alignment horizontal="justify" vertical="center" wrapText="1"/>
    </xf>
    <xf numFmtId="0" fontId="0" fillId="0" borderId="2" xfId="0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right" vertical="top" wrapText="1"/>
    </xf>
    <xf numFmtId="0" fontId="7" fillId="0" borderId="19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5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4" xfId="0" applyBorder="1" applyAlignment="1">
      <alignment/>
    </xf>
    <xf numFmtId="0" fontId="10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8" xfId="0" applyFont="1" applyBorder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7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0" borderId="18" xfId="0" applyFont="1" applyBorder="1" applyAlignment="1">
      <alignment horizontal="right" vertical="top" wrapText="1"/>
    </xf>
    <xf numFmtId="0" fontId="0" fillId="0" borderId="19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8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1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4" xfId="0" applyBorder="1" applyAlignment="1">
      <alignment horizontal="right"/>
    </xf>
    <xf numFmtId="0" fontId="8" fillId="0" borderId="19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9" fillId="3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409575</xdr:rowOff>
    </xdr:from>
    <xdr:to>
      <xdr:col>6</xdr:col>
      <xdr:colOff>828675</xdr:colOff>
      <xdr:row>14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09575"/>
          <a:ext cx="5657850" cy="2295525"/>
        </a:xfrm>
        <a:prstGeom prst="rect">
          <a:avLst/>
        </a:prstGeom>
        <a:solidFill>
          <a:srgbClr val="CCFFCC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180000" tIns="190800" rIns="198000" bIns="1908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Denominazione o Vocabolo: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"San Benedetto"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Proprietario: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IPSAA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Comune: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Latina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Superficie: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Ha  60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Ubicazione: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foglio di mappa 113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Giacitura: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pianura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Viabilità: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strade poderali interne in discreto stato di manutenzione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Natura e grado di fertilità: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argilloso di media fertilità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Avvicendamento delle colture: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racchiuso in rotazione quinquennale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Indirizzo produttivo: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cerealicolo – zootecnico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Fabbricati: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sufficienti e in discreto stato di manutenzione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Scorte: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tutte del proprietario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Sistema di conduzione: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Economia diretta a salariati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114300</xdr:rowOff>
    </xdr:from>
    <xdr:to>
      <xdr:col>5</xdr:col>
      <xdr:colOff>542925</xdr:colOff>
      <xdr:row>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0" y="114300"/>
          <a:ext cx="2695575" cy="466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Per il calcolo dell'ICI sono state utilizzate anche funzioni logiche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cio%20azienda%20per%20progetto%20docent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Carico bestiame"/>
      <sheetName val="Utile lordo di stalla"/>
      <sheetName val="PLV"/>
      <sheetName val="scorte vive e morte"/>
      <sheetName val="Spese di produzione"/>
      <sheetName val="Impo. BI"/>
      <sheetName val="ICI"/>
      <sheetName val="Riepilogo"/>
    </sheetNames>
    <sheetDataSet>
      <sheetData sheetId="0">
        <row r="32">
          <cell r="F32">
            <v>14</v>
          </cell>
        </row>
        <row r="33">
          <cell r="F33">
            <v>33</v>
          </cell>
        </row>
        <row r="34">
          <cell r="F34">
            <v>8</v>
          </cell>
        </row>
      </sheetData>
      <sheetData sheetId="1">
        <row r="8">
          <cell r="B8">
            <v>14</v>
          </cell>
          <cell r="D8">
            <v>8400</v>
          </cell>
        </row>
        <row r="10">
          <cell r="F10">
            <v>343200</v>
          </cell>
        </row>
        <row r="18">
          <cell r="D18">
            <v>95.33333333333333</v>
          </cell>
        </row>
        <row r="25">
          <cell r="C25">
            <v>85.8</v>
          </cell>
        </row>
      </sheetData>
      <sheetData sheetId="2">
        <row r="15">
          <cell r="F15">
            <v>40410</v>
          </cell>
        </row>
        <row r="20">
          <cell r="F20">
            <v>278850</v>
          </cell>
        </row>
      </sheetData>
      <sheetData sheetId="3">
        <row r="8">
          <cell r="D8">
            <v>320</v>
          </cell>
        </row>
        <row r="12">
          <cell r="H12">
            <v>246360</v>
          </cell>
        </row>
      </sheetData>
      <sheetData sheetId="4">
        <row r="12">
          <cell r="E12">
            <v>3236687.3333333335</v>
          </cell>
        </row>
        <row r="24">
          <cell r="E24">
            <v>3360</v>
          </cell>
        </row>
        <row r="29">
          <cell r="F29">
            <v>127</v>
          </cell>
        </row>
        <row r="30">
          <cell r="E30">
            <v>1016</v>
          </cell>
        </row>
        <row r="36">
          <cell r="F36">
            <v>1090</v>
          </cell>
        </row>
      </sheetData>
      <sheetData sheetId="5">
        <row r="17">
          <cell r="E17">
            <v>139029.27000000002</v>
          </cell>
        </row>
        <row r="24">
          <cell r="F24">
            <v>27976.4</v>
          </cell>
        </row>
        <row r="32">
          <cell r="E32">
            <v>54540</v>
          </cell>
        </row>
        <row r="37">
          <cell r="E37">
            <v>14781.599999999999</v>
          </cell>
        </row>
      </sheetData>
      <sheetData sheetId="6">
        <row r="3">
          <cell r="C3">
            <v>9854.4</v>
          </cell>
        </row>
        <row r="5">
          <cell r="C5">
            <v>9896.23433009859</v>
          </cell>
        </row>
        <row r="16">
          <cell r="F16">
            <v>100793.97256495149</v>
          </cell>
        </row>
      </sheetData>
      <sheetData sheetId="7">
        <row r="22">
          <cell r="B22">
            <v>41.83433009859163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37"/>
  <sheetViews>
    <sheetView showGridLines="0" tabSelected="1" workbookViewId="0" topLeftCell="A1">
      <selection activeCell="I9" sqref="I9"/>
    </sheetView>
  </sheetViews>
  <sheetFormatPr defaultColWidth="9.140625" defaultRowHeight="12.75"/>
  <cols>
    <col min="1" max="1" width="3.8515625" style="0" customWidth="1"/>
    <col min="2" max="2" width="9.7109375" style="0" customWidth="1"/>
    <col min="3" max="3" width="12.57421875" style="0" customWidth="1"/>
    <col min="4" max="4" width="12.00390625" style="0" customWidth="1"/>
    <col min="5" max="5" width="21.7109375" style="0" customWidth="1"/>
    <col min="6" max="7" width="12.7109375" style="0" customWidth="1"/>
  </cols>
  <sheetData>
    <row r="1" spans="1:7" ht="33" customHeight="1">
      <c r="A1" s="122" t="s">
        <v>0</v>
      </c>
      <c r="B1" s="122"/>
      <c r="C1" s="122"/>
      <c r="D1" s="122"/>
      <c r="E1" s="122"/>
      <c r="F1" s="122"/>
      <c r="G1" s="122"/>
    </row>
    <row r="15" ht="19.5" customHeight="1"/>
    <row r="16" spans="1:7" ht="31.5" customHeight="1">
      <c r="A16" s="123" t="s">
        <v>1</v>
      </c>
      <c r="B16" s="124"/>
      <c r="C16" s="124"/>
      <c r="D16" s="124"/>
      <c r="E16" s="124"/>
      <c r="F16" s="124"/>
      <c r="G16" s="125"/>
    </row>
    <row r="17" spans="1:7" ht="55.5" customHeight="1">
      <c r="A17" s="126"/>
      <c r="B17" s="127"/>
      <c r="C17" s="127"/>
      <c r="D17" s="127"/>
      <c r="E17" s="127"/>
      <c r="F17" s="127"/>
      <c r="G17" s="128"/>
    </row>
    <row r="18" spans="1:7" ht="18" customHeight="1">
      <c r="A18" s="129" t="s">
        <v>2</v>
      </c>
      <c r="B18" s="130"/>
      <c r="C18" s="130"/>
      <c r="D18" s="130"/>
      <c r="E18" s="130"/>
      <c r="F18" s="130"/>
      <c r="G18" s="131"/>
    </row>
    <row r="19" spans="1:7" ht="15.75">
      <c r="A19" s="132" t="s">
        <v>3</v>
      </c>
      <c r="B19" s="132" t="s">
        <v>4</v>
      </c>
      <c r="C19" s="132" t="s">
        <v>5</v>
      </c>
      <c r="D19" s="132" t="s">
        <v>6</v>
      </c>
      <c r="E19" s="1" t="s">
        <v>7</v>
      </c>
      <c r="F19" s="134" t="s">
        <v>8</v>
      </c>
      <c r="G19" s="135"/>
    </row>
    <row r="20" spans="1:7" ht="15.75">
      <c r="A20" s="133"/>
      <c r="B20" s="133"/>
      <c r="C20" s="133"/>
      <c r="D20" s="133"/>
      <c r="E20" s="2" t="s">
        <v>9</v>
      </c>
      <c r="F20" s="2" t="s">
        <v>10</v>
      </c>
      <c r="G20" s="2" t="s">
        <v>11</v>
      </c>
    </row>
    <row r="21" spans="1:7" ht="21" customHeight="1">
      <c r="A21" s="3"/>
      <c r="B21" s="4">
        <v>40</v>
      </c>
      <c r="C21" s="5" t="s">
        <v>12</v>
      </c>
      <c r="D21" s="4">
        <v>3</v>
      </c>
      <c r="E21" s="6">
        <v>60</v>
      </c>
      <c r="F21" s="5"/>
      <c r="G21" s="5"/>
    </row>
    <row r="22" spans="1:7" ht="19.5" customHeight="1">
      <c r="A22" s="3"/>
      <c r="B22" s="4">
        <v>57</v>
      </c>
      <c r="C22" s="5" t="s">
        <v>13</v>
      </c>
      <c r="D22" s="4">
        <v>4</v>
      </c>
      <c r="E22" s="6"/>
      <c r="F22" s="5"/>
      <c r="G22" s="5"/>
    </row>
    <row r="23" spans="1:7" ht="31.5">
      <c r="A23" s="3"/>
      <c r="B23" s="4">
        <v>38</v>
      </c>
      <c r="C23" s="5" t="s">
        <v>14</v>
      </c>
      <c r="D23" s="4">
        <v>2</v>
      </c>
      <c r="E23" s="6"/>
      <c r="F23" s="5"/>
      <c r="G23" s="5"/>
    </row>
    <row r="24" spans="1:7" ht="31.5">
      <c r="A24" s="3"/>
      <c r="B24" s="4">
        <v>39</v>
      </c>
      <c r="C24" s="5" t="s">
        <v>15</v>
      </c>
      <c r="D24" s="4">
        <v>3</v>
      </c>
      <c r="E24" s="6"/>
      <c r="F24" s="5"/>
      <c r="G24" s="5"/>
    </row>
    <row r="25" spans="1:7" ht="31.5">
      <c r="A25" s="3"/>
      <c r="B25" s="4">
        <v>53</v>
      </c>
      <c r="C25" s="5" t="s">
        <v>16</v>
      </c>
      <c r="D25" s="4">
        <v>2</v>
      </c>
      <c r="E25" s="6"/>
      <c r="F25" s="5"/>
      <c r="G25" s="5"/>
    </row>
    <row r="26" spans="1:7" ht="32.25" customHeight="1">
      <c r="A26" s="3"/>
      <c r="B26" s="4">
        <v>88</v>
      </c>
      <c r="C26" s="5" t="s">
        <v>17</v>
      </c>
      <c r="D26" s="4"/>
      <c r="E26" s="6"/>
      <c r="F26" s="5"/>
      <c r="G26" s="5"/>
    </row>
    <row r="27" spans="1:7" ht="18.75" customHeight="1">
      <c r="A27" s="136" t="s">
        <v>18</v>
      </c>
      <c r="B27" s="137"/>
      <c r="C27" s="137"/>
      <c r="D27" s="138"/>
      <c r="E27" s="7">
        <f>SUM(E21:E26)</f>
        <v>60</v>
      </c>
      <c r="F27" s="5"/>
      <c r="G27" s="5"/>
    </row>
    <row r="29" spans="1:6" ht="17.25" customHeight="1">
      <c r="A29" s="139" t="s">
        <v>19</v>
      </c>
      <c r="B29" s="140"/>
      <c r="C29" s="140"/>
      <c r="D29" s="140"/>
      <c r="E29" s="140"/>
      <c r="F29" s="141"/>
    </row>
    <row r="30" spans="1:6" ht="25.5" customHeight="1">
      <c r="A30" s="142" t="s">
        <v>7</v>
      </c>
      <c r="B30" s="143"/>
      <c r="C30" s="143"/>
      <c r="D30" s="8" t="s">
        <v>20</v>
      </c>
      <c r="E30" s="8" t="s">
        <v>7</v>
      </c>
      <c r="F30" s="8" t="s">
        <v>20</v>
      </c>
    </row>
    <row r="31" spans="1:6" ht="27">
      <c r="A31" s="144" t="s">
        <v>21</v>
      </c>
      <c r="B31" s="145"/>
      <c r="C31" s="145"/>
      <c r="D31" s="6">
        <f>E27</f>
        <v>60</v>
      </c>
      <c r="E31" s="9" t="s">
        <v>22</v>
      </c>
      <c r="F31" s="10"/>
    </row>
    <row r="32" spans="1:6" ht="18" customHeight="1">
      <c r="A32" s="144" t="s">
        <v>23</v>
      </c>
      <c r="B32" s="145"/>
      <c r="C32" s="145"/>
      <c r="D32" s="6">
        <v>3</v>
      </c>
      <c r="E32" s="11" t="s">
        <v>24</v>
      </c>
      <c r="F32" s="6">
        <v>14</v>
      </c>
    </row>
    <row r="33" spans="1:6" ht="18" customHeight="1">
      <c r="A33" s="144" t="s">
        <v>25</v>
      </c>
      <c r="B33" s="145"/>
      <c r="C33" s="145"/>
      <c r="D33" s="6">
        <f>D31-D32</f>
        <v>57</v>
      </c>
      <c r="E33" s="11" t="s">
        <v>26</v>
      </c>
      <c r="F33" s="6">
        <v>33</v>
      </c>
    </row>
    <row r="34" spans="1:6" ht="18" customHeight="1">
      <c r="A34" s="144" t="s">
        <v>27</v>
      </c>
      <c r="B34" s="145"/>
      <c r="C34" s="145"/>
      <c r="D34" s="6">
        <v>2</v>
      </c>
      <c r="E34" s="11" t="s">
        <v>28</v>
      </c>
      <c r="F34" s="6">
        <v>8</v>
      </c>
    </row>
    <row r="35" spans="1:6" ht="18" customHeight="1">
      <c r="A35" s="144" t="s">
        <v>12</v>
      </c>
      <c r="B35" s="145"/>
      <c r="C35" s="145"/>
      <c r="D35" s="6">
        <v>55</v>
      </c>
      <c r="E35" s="11"/>
      <c r="F35" s="6"/>
    </row>
    <row r="36" spans="1:6" ht="15.75">
      <c r="A36" s="146"/>
      <c r="B36" s="147"/>
      <c r="C36" s="148"/>
      <c r="D36" s="12"/>
      <c r="E36" s="11"/>
      <c r="F36" s="6"/>
    </row>
    <row r="37" spans="1:6" ht="12.75">
      <c r="A37" s="149"/>
      <c r="B37" s="140"/>
      <c r="C37" s="141"/>
      <c r="D37" s="13"/>
      <c r="E37" s="13"/>
      <c r="F37" s="13"/>
    </row>
  </sheetData>
  <mergeCells count="18">
    <mergeCell ref="A36:C36"/>
    <mergeCell ref="A37:C37"/>
    <mergeCell ref="A32:C32"/>
    <mergeCell ref="A33:C33"/>
    <mergeCell ref="A34:C34"/>
    <mergeCell ref="A35:C35"/>
    <mergeCell ref="A27:D27"/>
    <mergeCell ref="A29:F29"/>
    <mergeCell ref="A30:C30"/>
    <mergeCell ref="A31:C31"/>
    <mergeCell ref="A1:G1"/>
    <mergeCell ref="A16:G17"/>
    <mergeCell ref="A18:G18"/>
    <mergeCell ref="A19:A20"/>
    <mergeCell ref="B19:B20"/>
    <mergeCell ref="C19:C20"/>
    <mergeCell ref="D19:D20"/>
    <mergeCell ref="F19:G19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2"/>
  <headerFooter alignWithMargins="0">
    <oddHeader>&amp;C&amp;"Arial,Corsivo"Bilancio azienda agraria</oddHeader>
    <oddFooter>&amp;CPagina &amp;P&amp;R&amp;A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J25"/>
  <sheetViews>
    <sheetView showGridLines="0" workbookViewId="0" topLeftCell="A1">
      <selection activeCell="D15" sqref="D15"/>
    </sheetView>
  </sheetViews>
  <sheetFormatPr defaultColWidth="9.140625" defaultRowHeight="12.75"/>
  <cols>
    <col min="1" max="1" width="16.140625" style="0" customWidth="1"/>
    <col min="2" max="5" width="12.8515625" style="0" customWidth="1"/>
    <col min="6" max="6" width="15.00390625" style="0" customWidth="1"/>
    <col min="7" max="7" width="0.2890625" style="0" customWidth="1"/>
    <col min="8" max="9" width="9.140625" style="0" hidden="1" customWidth="1"/>
  </cols>
  <sheetData>
    <row r="1" spans="1:6" ht="40.5" customHeight="1">
      <c r="A1" s="161" t="s">
        <v>29</v>
      </c>
      <c r="B1" s="162"/>
      <c r="C1" s="162"/>
      <c r="D1" s="162"/>
      <c r="E1" s="162"/>
      <c r="F1" s="162"/>
    </row>
    <row r="2" spans="1:9" ht="24" customHeight="1">
      <c r="A2" s="163" t="s">
        <v>30</v>
      </c>
      <c r="B2" s="164"/>
      <c r="C2" s="164"/>
      <c r="D2" s="164"/>
      <c r="E2" s="164"/>
      <c r="F2" s="164"/>
      <c r="I2" t="s">
        <v>31</v>
      </c>
    </row>
    <row r="3" spans="1:6" ht="15.75">
      <c r="A3" s="165" t="s">
        <v>32</v>
      </c>
      <c r="B3" s="165" t="s">
        <v>33</v>
      </c>
      <c r="C3" s="165" t="s">
        <v>34</v>
      </c>
      <c r="D3" s="165"/>
      <c r="E3" s="165" t="s">
        <v>35</v>
      </c>
      <c r="F3" s="165" t="s">
        <v>36</v>
      </c>
    </row>
    <row r="4" spans="1:6" ht="15.75">
      <c r="A4" s="165"/>
      <c r="B4" s="165"/>
      <c r="C4" s="14" t="s">
        <v>37</v>
      </c>
      <c r="D4" s="14" t="s">
        <v>38</v>
      </c>
      <c r="E4" s="166"/>
      <c r="F4" s="166"/>
    </row>
    <row r="5" spans="1:10" ht="19.5" customHeight="1">
      <c r="A5" s="15" t="s">
        <v>39</v>
      </c>
      <c r="B5" s="16">
        <f>'[1]Dati'!F$33/3</f>
        <v>11</v>
      </c>
      <c r="C5" s="4">
        <v>100</v>
      </c>
      <c r="D5" s="16">
        <f>B5*C5</f>
        <v>1100</v>
      </c>
      <c r="E5" s="4">
        <v>45</v>
      </c>
      <c r="F5" s="17">
        <f>D5*E5</f>
        <v>49500</v>
      </c>
      <c r="J5" s="18"/>
    </row>
    <row r="6" spans="1:6" ht="31.5">
      <c r="A6" s="15" t="s">
        <v>40</v>
      </c>
      <c r="B6" s="16">
        <f>'[1]Dati'!F$33/3</f>
        <v>11</v>
      </c>
      <c r="C6" s="4">
        <v>130</v>
      </c>
      <c r="D6" s="16">
        <f>B6*C6</f>
        <v>1430</v>
      </c>
      <c r="E6" s="4">
        <v>45</v>
      </c>
      <c r="F6" s="17">
        <f>D6*E6</f>
        <v>64350</v>
      </c>
    </row>
    <row r="7" spans="1:6" ht="31.5">
      <c r="A7" s="15" t="s">
        <v>41</v>
      </c>
      <c r="B7" s="16">
        <f>'[1]Dati'!F$33/3</f>
        <v>11</v>
      </c>
      <c r="C7" s="4">
        <v>90</v>
      </c>
      <c r="D7" s="4">
        <f>B7*C7</f>
        <v>990</v>
      </c>
      <c r="E7" s="4">
        <v>45</v>
      </c>
      <c r="F7" s="17">
        <f>D7*E7</f>
        <v>44550</v>
      </c>
    </row>
    <row r="8" spans="1:7" ht="15.75">
      <c r="A8" s="15" t="s">
        <v>42</v>
      </c>
      <c r="B8" s="19">
        <f>'[1]Dati'!F32</f>
        <v>14</v>
      </c>
      <c r="C8" s="4">
        <v>600</v>
      </c>
      <c r="D8" s="4">
        <f>B8*C8</f>
        <v>8400</v>
      </c>
      <c r="E8" s="16">
        <v>22</v>
      </c>
      <c r="F8" s="17">
        <f>D8*E8</f>
        <v>184800</v>
      </c>
      <c r="G8" s="20"/>
    </row>
    <row r="9" spans="1:6" ht="18.75" customHeight="1">
      <c r="A9" s="13"/>
      <c r="B9" s="13"/>
      <c r="C9" s="13"/>
      <c r="D9" s="13"/>
      <c r="E9" s="13"/>
      <c r="F9" s="13"/>
    </row>
    <row r="10" spans="1:6" ht="15" customHeight="1">
      <c r="A10" s="152" t="s">
        <v>43</v>
      </c>
      <c r="B10" s="153"/>
      <c r="C10" s="153"/>
      <c r="D10" s="153"/>
      <c r="E10" s="154"/>
      <c r="F10" s="21">
        <f>SUM(F5:F8)</f>
        <v>343200</v>
      </c>
    </row>
    <row r="12" spans="1:5" ht="15.75">
      <c r="A12" s="22" t="s">
        <v>44</v>
      </c>
      <c r="B12" s="23"/>
      <c r="C12" s="23"/>
      <c r="D12" s="23"/>
      <c r="E12" s="23"/>
    </row>
    <row r="14" spans="1:7" ht="33.75" customHeight="1">
      <c r="A14" s="155" t="s">
        <v>45</v>
      </c>
      <c r="B14" s="156"/>
      <c r="C14" s="156"/>
      <c r="D14" s="156"/>
      <c r="E14" s="156"/>
      <c r="F14" s="156"/>
      <c r="G14" s="24"/>
    </row>
    <row r="15" spans="1:5" ht="15.75">
      <c r="A15" s="25"/>
      <c r="B15" s="26" t="s">
        <v>46</v>
      </c>
      <c r="C15" s="27">
        <f>F10</f>
        <v>343200</v>
      </c>
      <c r="D15" s="28">
        <f>C15/600</f>
        <v>572</v>
      </c>
      <c r="E15" t="s">
        <v>47</v>
      </c>
    </row>
    <row r="17" spans="1:4" ht="24.75" customHeight="1">
      <c r="A17" s="29" t="s">
        <v>48</v>
      </c>
      <c r="B17" s="24"/>
      <c r="C17" s="24"/>
      <c r="D17" s="24"/>
    </row>
    <row r="18" spans="2:5" ht="12.75">
      <c r="B18" s="30"/>
      <c r="C18" s="31"/>
      <c r="D18" s="28">
        <f>D15/6</f>
        <v>95.33333333333333</v>
      </c>
      <c r="E18" t="s">
        <v>49</v>
      </c>
    </row>
    <row r="20" spans="1:7" ht="40.5" customHeight="1">
      <c r="A20" s="157" t="s">
        <v>50</v>
      </c>
      <c r="B20" s="158"/>
      <c r="C20" s="158"/>
      <c r="D20" s="158"/>
      <c r="E20" s="158"/>
      <c r="F20" s="158"/>
      <c r="G20" s="24"/>
    </row>
    <row r="21" spans="2:6" ht="12.75">
      <c r="B21" s="28">
        <f>D18/4</f>
        <v>23.833333333333332</v>
      </c>
      <c r="C21" s="159" t="s">
        <v>51</v>
      </c>
      <c r="D21" s="160"/>
      <c r="E21" s="160"/>
      <c r="F21" s="160"/>
    </row>
    <row r="23" spans="1:6" ht="29.25" customHeight="1">
      <c r="A23" s="150" t="s">
        <v>52</v>
      </c>
      <c r="B23" s="151"/>
      <c r="C23" s="151"/>
      <c r="D23" s="151"/>
      <c r="E23" s="151"/>
      <c r="F23" s="151"/>
    </row>
    <row r="24" ht="15.75">
      <c r="A24" s="25"/>
    </row>
    <row r="25" spans="3:5" ht="12.75">
      <c r="C25" s="28">
        <f>D18/100*90</f>
        <v>85.8</v>
      </c>
      <c r="D25" s="32" t="s">
        <v>53</v>
      </c>
      <c r="E25" s="33"/>
    </row>
  </sheetData>
  <mergeCells count="12">
    <mergeCell ref="A1:F1"/>
    <mergeCell ref="A2:F2"/>
    <mergeCell ref="A3:A4"/>
    <mergeCell ref="B3:B4"/>
    <mergeCell ref="C3:D3"/>
    <mergeCell ref="E3:E4"/>
    <mergeCell ref="F3:F4"/>
    <mergeCell ref="A23:F23"/>
    <mergeCell ref="A10:E10"/>
    <mergeCell ref="A14:F14"/>
    <mergeCell ref="A20:F20"/>
    <mergeCell ref="C21:F21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&amp;C&amp;"Arial,Corsivo"Bilancio azienda agraria</oddHeader>
    <oddFooter>&amp;CPagina &amp;P&amp;R&amp;A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H20"/>
  <sheetViews>
    <sheetView showGridLines="0" workbookViewId="0" topLeftCell="A1">
      <selection activeCell="B16" sqref="B16"/>
    </sheetView>
  </sheetViews>
  <sheetFormatPr defaultColWidth="9.140625" defaultRowHeight="12.75"/>
  <cols>
    <col min="1" max="1" width="15.57421875" style="0" customWidth="1"/>
    <col min="3" max="3" width="9.7109375" style="0" bestFit="1" customWidth="1"/>
    <col min="4" max="6" width="11.7109375" style="0" bestFit="1" customWidth="1"/>
    <col min="8" max="8" width="9.57421875" style="0" bestFit="1" customWidth="1"/>
  </cols>
  <sheetData>
    <row r="1" ht="23.25" customHeight="1">
      <c r="A1" s="34" t="s">
        <v>54</v>
      </c>
    </row>
    <row r="3" ht="15.75">
      <c r="A3" s="25" t="s">
        <v>55</v>
      </c>
    </row>
    <row r="4" ht="15.75">
      <c r="A4" s="35" t="s">
        <v>56</v>
      </c>
    </row>
    <row r="6" spans="1:8" ht="19.5" customHeight="1">
      <c r="A6" t="s">
        <v>57</v>
      </c>
      <c r="B6" s="36">
        <f>'[1]Carico bestiame'!D18</f>
        <v>95.33333333333333</v>
      </c>
      <c r="C6" s="37">
        <v>1300</v>
      </c>
      <c r="D6" s="37">
        <f>B6*C6</f>
        <v>123933.33333333333</v>
      </c>
      <c r="H6" s="38"/>
    </row>
    <row r="7" spans="1:4" ht="19.5" customHeight="1">
      <c r="A7" t="s">
        <v>53</v>
      </c>
      <c r="B7" s="36">
        <f>'[1]Carico bestiame'!C25</f>
        <v>85.8</v>
      </c>
      <c r="C7" s="37">
        <v>50</v>
      </c>
      <c r="D7" s="37">
        <f>B7*C7</f>
        <v>4290</v>
      </c>
    </row>
    <row r="8" spans="1:6" ht="19.5" customHeight="1">
      <c r="A8" t="s">
        <v>58</v>
      </c>
      <c r="B8" s="39">
        <v>21</v>
      </c>
      <c r="C8" s="40">
        <v>700</v>
      </c>
      <c r="D8" s="40">
        <f>B8*C8</f>
        <v>14700</v>
      </c>
      <c r="F8" s="41"/>
    </row>
    <row r="9" spans="3:4" ht="16.5" customHeight="1">
      <c r="C9" s="42" t="s">
        <v>38</v>
      </c>
      <c r="D9" s="43">
        <f>SUM(D6:D8)</f>
        <v>142923.3333333333</v>
      </c>
    </row>
    <row r="11" spans="1:4" ht="19.5" customHeight="1">
      <c r="A11" t="s">
        <v>57</v>
      </c>
      <c r="B11" s="36">
        <f>'[1]Carico bestiame'!D18</f>
        <v>95.33333333333333</v>
      </c>
      <c r="C11" s="44">
        <v>1300</v>
      </c>
      <c r="D11" s="45">
        <f>B11*C11</f>
        <v>123933.33333333333</v>
      </c>
    </row>
    <row r="12" spans="1:4" ht="19.5" customHeight="1">
      <c r="A12" t="s">
        <v>59</v>
      </c>
      <c r="B12" s="39">
        <v>33</v>
      </c>
      <c r="C12" s="46">
        <v>1800</v>
      </c>
      <c r="D12" s="40">
        <f>B12*C12</f>
        <v>59400</v>
      </c>
    </row>
    <row r="13" spans="3:4" ht="19.5" customHeight="1">
      <c r="C13" s="42" t="s">
        <v>38</v>
      </c>
      <c r="D13" s="43">
        <f>SUM(D10:D12)</f>
        <v>183333.3333333333</v>
      </c>
    </row>
    <row r="15" spans="1:6" ht="12.75">
      <c r="A15" t="s">
        <v>60</v>
      </c>
      <c r="D15" s="47">
        <f>D13</f>
        <v>183333.3333333333</v>
      </c>
      <c r="E15" s="47">
        <f>D9</f>
        <v>142923.3333333333</v>
      </c>
      <c r="F15" s="43">
        <f>D13-D9</f>
        <v>40410</v>
      </c>
    </row>
    <row r="17" ht="15.75">
      <c r="A17" s="48" t="s">
        <v>61</v>
      </c>
    </row>
    <row r="18" ht="15.75">
      <c r="A18" s="25" t="s">
        <v>62</v>
      </c>
    </row>
    <row r="20" spans="2:7" ht="21" customHeight="1">
      <c r="B20" s="49" t="s">
        <v>63</v>
      </c>
      <c r="C20" s="49">
        <v>75</v>
      </c>
      <c r="D20" s="50">
        <v>39</v>
      </c>
      <c r="E20" s="51">
        <f>C20*D20</f>
        <v>2925</v>
      </c>
      <c r="F20" s="52">
        <f>'[1]Carico bestiame'!D18*E20</f>
        <v>278850</v>
      </c>
      <c r="G20" t="s">
        <v>64</v>
      </c>
    </row>
  </sheetData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Header>&amp;C&amp;"Arial,Corsivo"Bilancio azienda agraria</oddHeader>
    <oddFooter>&amp;CPagina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H12"/>
  <sheetViews>
    <sheetView showGridLines="0" workbookViewId="0" topLeftCell="A1">
      <selection activeCell="E13" sqref="E13"/>
    </sheetView>
  </sheetViews>
  <sheetFormatPr defaultColWidth="9.140625" defaultRowHeight="12.75"/>
  <cols>
    <col min="2" max="2" width="11.7109375" style="0" customWidth="1"/>
    <col min="3" max="3" width="9.7109375" style="0" customWidth="1"/>
    <col min="4" max="4" width="7.57421875" style="0" customWidth="1"/>
    <col min="5" max="5" width="14.140625" style="0" customWidth="1"/>
    <col min="6" max="6" width="7.00390625" style="0" customWidth="1"/>
    <col min="7" max="7" width="9.421875" style="0" customWidth="1"/>
    <col min="8" max="8" width="14.28125" style="0" customWidth="1"/>
  </cols>
  <sheetData>
    <row r="1" ht="30.75" customHeight="1">
      <c r="A1" s="34" t="s">
        <v>65</v>
      </c>
    </row>
    <row r="3" spans="1:8" ht="15.75" customHeight="1">
      <c r="A3" s="132" t="s">
        <v>66</v>
      </c>
      <c r="B3" s="132" t="s">
        <v>67</v>
      </c>
      <c r="C3" s="134" t="s">
        <v>68</v>
      </c>
      <c r="D3" s="135"/>
      <c r="E3" s="132" t="s">
        <v>69</v>
      </c>
      <c r="F3" s="132" t="s">
        <v>70</v>
      </c>
      <c r="G3" s="134" t="s">
        <v>71</v>
      </c>
      <c r="H3" s="135"/>
    </row>
    <row r="4" spans="1:8" ht="15.75">
      <c r="A4" s="133"/>
      <c r="B4" s="173"/>
      <c r="C4" s="2" t="s">
        <v>37</v>
      </c>
      <c r="D4" s="2" t="s">
        <v>38</v>
      </c>
      <c r="E4" s="173"/>
      <c r="F4" s="133"/>
      <c r="G4" s="2" t="s">
        <v>72</v>
      </c>
      <c r="H4" s="2" t="s">
        <v>38</v>
      </c>
    </row>
    <row r="5" spans="1:8" ht="19.5" customHeight="1">
      <c r="A5" s="53" t="s">
        <v>28</v>
      </c>
      <c r="B5" s="54">
        <f>'[1]Dati'!F34</f>
        <v>8</v>
      </c>
      <c r="C5" s="4">
        <v>60</v>
      </c>
      <c r="D5" s="4">
        <f>B5*C5</f>
        <v>480</v>
      </c>
      <c r="E5" s="4"/>
      <c r="F5" s="4">
        <v>480</v>
      </c>
      <c r="G5" s="55">
        <v>16.5</v>
      </c>
      <c r="H5" s="55">
        <f>F5*G5</f>
        <v>7920</v>
      </c>
    </row>
    <row r="6" spans="1:8" ht="19.5" customHeight="1">
      <c r="A6" s="53" t="s">
        <v>73</v>
      </c>
      <c r="B6" s="54">
        <v>14</v>
      </c>
      <c r="C6" s="4">
        <v>600</v>
      </c>
      <c r="D6" s="4">
        <f>B6*C6</f>
        <v>8400</v>
      </c>
      <c r="E6" s="4">
        <f>D6</f>
        <v>8400</v>
      </c>
      <c r="F6" s="4"/>
      <c r="G6" s="55"/>
      <c r="H6" s="55"/>
    </row>
    <row r="7" spans="1:8" ht="19.5" customHeight="1">
      <c r="A7" s="53" t="s">
        <v>74</v>
      </c>
      <c r="B7" s="54">
        <v>33</v>
      </c>
      <c r="C7" s="4">
        <v>100</v>
      </c>
      <c r="D7" s="4">
        <f>B7*C7</f>
        <v>3300</v>
      </c>
      <c r="E7" s="4">
        <f>D7</f>
        <v>3300</v>
      </c>
      <c r="F7" s="4"/>
      <c r="G7" s="55"/>
      <c r="H7" s="55"/>
    </row>
    <row r="8" spans="1:8" ht="19.5" customHeight="1">
      <c r="A8" s="53" t="s">
        <v>75</v>
      </c>
      <c r="B8" s="54">
        <f>B5</f>
        <v>8</v>
      </c>
      <c r="C8" s="4">
        <v>40</v>
      </c>
      <c r="D8" s="4">
        <f>B8*C8</f>
        <v>320</v>
      </c>
      <c r="E8" s="4">
        <v>320</v>
      </c>
      <c r="F8" s="4"/>
      <c r="G8" s="56"/>
      <c r="H8" s="55"/>
    </row>
    <row r="9" spans="1:8" ht="19.5" customHeight="1">
      <c r="A9" s="53" t="s">
        <v>76</v>
      </c>
      <c r="B9" s="54"/>
      <c r="C9" s="4"/>
      <c r="D9" s="4">
        <f>B9*C9</f>
        <v>0</v>
      </c>
      <c r="E9" s="4"/>
      <c r="F9" s="4"/>
      <c r="G9" s="56"/>
      <c r="H9" s="55">
        <f>'[1]Utile lordo di stalla'!F20</f>
        <v>278850</v>
      </c>
    </row>
    <row r="10" spans="1:8" ht="15.75">
      <c r="A10" s="167" t="s">
        <v>77</v>
      </c>
      <c r="B10" s="168"/>
      <c r="C10" s="168"/>
      <c r="D10" s="168"/>
      <c r="E10" s="168"/>
      <c r="F10" s="168"/>
      <c r="G10" s="169"/>
      <c r="H10" s="57">
        <f>SUM(H5:H9)</f>
        <v>286770</v>
      </c>
    </row>
    <row r="11" spans="1:8" ht="15.75">
      <c r="A11" s="170" t="s">
        <v>78</v>
      </c>
      <c r="B11" s="171"/>
      <c r="C11" s="171"/>
      <c r="D11" s="171"/>
      <c r="E11" s="171"/>
      <c r="F11" s="171"/>
      <c r="G11" s="172"/>
      <c r="H11" s="55">
        <f>'[1]Utile lordo di stalla'!F15</f>
        <v>40410</v>
      </c>
    </row>
    <row r="12" spans="1:8" ht="15.75">
      <c r="A12" s="167" t="s">
        <v>38</v>
      </c>
      <c r="B12" s="168"/>
      <c r="C12" s="168"/>
      <c r="D12" s="168"/>
      <c r="E12" s="168"/>
      <c r="F12" s="168"/>
      <c r="G12" s="169"/>
      <c r="H12" s="57">
        <f>H10-H11</f>
        <v>246360</v>
      </c>
    </row>
  </sheetData>
  <mergeCells count="9">
    <mergeCell ref="A12:G12"/>
    <mergeCell ref="F3:F4"/>
    <mergeCell ref="G3:H3"/>
    <mergeCell ref="A10:G10"/>
    <mergeCell ref="A11:G11"/>
    <mergeCell ref="A3:A4"/>
    <mergeCell ref="B3:B4"/>
    <mergeCell ref="C3:D3"/>
    <mergeCell ref="E3:E4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Header>&amp;C&amp;"Arial,Corsivo"Bilancio azienda agraria</oddHeader>
    <oddFooter>&amp;CPagina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2"/>
  </sheetPr>
  <dimension ref="A1:H37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3.57421875" style="0" customWidth="1"/>
    <col min="2" max="2" width="32.8515625" style="0" customWidth="1"/>
    <col min="3" max="3" width="10.00390625" style="0" customWidth="1"/>
    <col min="4" max="4" width="11.00390625" style="0" customWidth="1"/>
    <col min="5" max="5" width="15.28125" style="0" customWidth="1"/>
    <col min="6" max="6" width="9.7109375" style="0" bestFit="1" customWidth="1"/>
  </cols>
  <sheetData>
    <row r="1" spans="1:3" ht="25.5" customHeight="1">
      <c r="A1" s="22" t="s">
        <v>79</v>
      </c>
      <c r="B1" s="58"/>
      <c r="C1" s="58"/>
    </row>
    <row r="3" spans="1:5" ht="15.75">
      <c r="A3" s="132" t="s">
        <v>3</v>
      </c>
      <c r="B3" s="132" t="s">
        <v>80</v>
      </c>
      <c r="C3" s="132" t="s">
        <v>81</v>
      </c>
      <c r="D3" s="134" t="s">
        <v>71</v>
      </c>
      <c r="E3" s="135"/>
    </row>
    <row r="4" spans="1:5" ht="15.75">
      <c r="A4" s="133"/>
      <c r="B4" s="133"/>
      <c r="C4" s="133"/>
      <c r="D4" s="2" t="s">
        <v>82</v>
      </c>
      <c r="E4" s="2" t="s">
        <v>38</v>
      </c>
    </row>
    <row r="5" spans="1:7" ht="18" customHeight="1">
      <c r="A5" s="53">
        <v>1</v>
      </c>
      <c r="B5" s="59" t="s">
        <v>83</v>
      </c>
      <c r="C5" s="60">
        <f>'[1]Carico bestiame'!D18</f>
        <v>95.33333333333333</v>
      </c>
      <c r="D5" s="61">
        <v>1300</v>
      </c>
      <c r="E5" s="62">
        <f>C5*D5</f>
        <v>123933.33333333333</v>
      </c>
      <c r="G5" s="41"/>
    </row>
    <row r="6" spans="1:5" ht="18" customHeight="1">
      <c r="A6" s="53"/>
      <c r="B6" s="63" t="s">
        <v>84</v>
      </c>
      <c r="C6" s="60">
        <f>'[1]Carico bestiame'!C25</f>
        <v>85.8</v>
      </c>
      <c r="D6" s="61">
        <v>50</v>
      </c>
      <c r="E6" s="62">
        <f aca="true" t="shared" si="0" ref="E6:E11">C6*D6</f>
        <v>4290</v>
      </c>
    </row>
    <row r="7" spans="1:5" ht="18" customHeight="1">
      <c r="A7" s="53">
        <v>2</v>
      </c>
      <c r="B7" s="59" t="s">
        <v>85</v>
      </c>
      <c r="C7" s="64"/>
      <c r="D7" s="61"/>
      <c r="E7" s="62">
        <f t="shared" si="0"/>
        <v>0</v>
      </c>
    </row>
    <row r="8" spans="1:5" ht="18" customHeight="1">
      <c r="A8" s="53">
        <v>3</v>
      </c>
      <c r="B8" s="63" t="s">
        <v>86</v>
      </c>
      <c r="C8" s="65">
        <f>'[1]Carico bestiame'!F10/2</f>
        <v>171600</v>
      </c>
      <c r="D8" s="61">
        <v>18</v>
      </c>
      <c r="E8" s="62">
        <f t="shared" si="0"/>
        <v>3088800</v>
      </c>
    </row>
    <row r="9" spans="1:5" ht="18" customHeight="1">
      <c r="A9" s="53">
        <v>4</v>
      </c>
      <c r="B9" s="63" t="s">
        <v>87</v>
      </c>
      <c r="C9" s="64">
        <f>'[1]PLV'!D8/2</f>
        <v>160</v>
      </c>
      <c r="D9" s="61">
        <v>10</v>
      </c>
      <c r="E9" s="62">
        <f t="shared" si="0"/>
        <v>1600</v>
      </c>
    </row>
    <row r="10" spans="1:5" ht="47.25">
      <c r="A10" s="66">
        <v>5</v>
      </c>
      <c r="B10" s="67" t="s">
        <v>88</v>
      </c>
      <c r="C10" s="68">
        <f>'[1]Carico bestiame'!D18*6*10</f>
        <v>5720</v>
      </c>
      <c r="D10" s="61">
        <v>0.5</v>
      </c>
      <c r="E10" s="62">
        <f t="shared" si="0"/>
        <v>2860</v>
      </c>
    </row>
    <row r="11" spans="1:5" ht="18" customHeight="1">
      <c r="A11" s="53">
        <v>6</v>
      </c>
      <c r="B11" s="63" t="s">
        <v>89</v>
      </c>
      <c r="C11" s="65">
        <f>'[1]Carico bestiame'!D8/2</f>
        <v>4200</v>
      </c>
      <c r="D11" s="61">
        <v>3.62</v>
      </c>
      <c r="E11" s="62">
        <f t="shared" si="0"/>
        <v>15204</v>
      </c>
    </row>
    <row r="12" spans="1:5" ht="15.75">
      <c r="A12" s="53"/>
      <c r="B12" s="69" t="s">
        <v>90</v>
      </c>
      <c r="C12" s="64"/>
      <c r="D12" s="61"/>
      <c r="E12" s="70">
        <f>SUM(E5:E11)</f>
        <v>3236687.3333333335</v>
      </c>
    </row>
    <row r="14" ht="15.75">
      <c r="A14" s="22" t="s">
        <v>91</v>
      </c>
    </row>
    <row r="16" spans="1:7" ht="31.5" customHeight="1">
      <c r="A16" s="174" t="s">
        <v>92</v>
      </c>
      <c r="B16" s="174"/>
      <c r="C16" s="174"/>
      <c r="D16" s="174"/>
      <c r="E16" s="174"/>
      <c r="G16" s="41"/>
    </row>
    <row r="18" ht="12.75">
      <c r="A18" s="71" t="s">
        <v>73</v>
      </c>
    </row>
    <row r="19" spans="2:6" ht="16.5" customHeight="1">
      <c r="B19" t="s">
        <v>93</v>
      </c>
      <c r="C19" s="72" t="s">
        <v>94</v>
      </c>
      <c r="D19">
        <v>2.5</v>
      </c>
      <c r="E19" s="37">
        <v>20</v>
      </c>
      <c r="F19" s="37">
        <f>D19*E19</f>
        <v>50</v>
      </c>
    </row>
    <row r="20" spans="2:6" ht="16.5" customHeight="1">
      <c r="B20" t="s">
        <v>95</v>
      </c>
      <c r="C20" s="72" t="s">
        <v>94</v>
      </c>
      <c r="D20">
        <v>2</v>
      </c>
      <c r="E20" s="37">
        <v>20</v>
      </c>
      <c r="F20" s="37">
        <f>D20*E20</f>
        <v>40</v>
      </c>
    </row>
    <row r="21" spans="2:6" ht="16.5" customHeight="1">
      <c r="B21" t="s">
        <v>96</v>
      </c>
      <c r="C21" s="72" t="s">
        <v>94</v>
      </c>
      <c r="D21">
        <v>4</v>
      </c>
      <c r="E21" s="37">
        <v>25</v>
      </c>
      <c r="F21" s="37">
        <f>D21*E21</f>
        <v>100</v>
      </c>
    </row>
    <row r="22" spans="2:6" ht="16.5" customHeight="1">
      <c r="B22" t="s">
        <v>97</v>
      </c>
      <c r="C22" s="73" t="s">
        <v>94</v>
      </c>
      <c r="D22" s="39">
        <v>2.5</v>
      </c>
      <c r="E22" s="40">
        <v>20</v>
      </c>
      <c r="F22" s="40">
        <f>D22*E22</f>
        <v>50</v>
      </c>
    </row>
    <row r="23" spans="5:6" ht="12.75">
      <c r="E23" s="74"/>
      <c r="F23" s="43">
        <f>SUM(F19:F22)</f>
        <v>240</v>
      </c>
    </row>
    <row r="24" spans="2:5" ht="12.75">
      <c r="B24" s="175" t="s">
        <v>98</v>
      </c>
      <c r="C24" s="175"/>
      <c r="D24" s="175"/>
      <c r="E24" s="43">
        <f>F23*'[1]Carico bestiame'!B8</f>
        <v>3360</v>
      </c>
    </row>
    <row r="25" ht="12.75">
      <c r="A25" s="71" t="s">
        <v>28</v>
      </c>
    </row>
    <row r="26" spans="2:6" ht="16.5" customHeight="1">
      <c r="B26" t="s">
        <v>93</v>
      </c>
      <c r="C26" s="72" t="s">
        <v>94</v>
      </c>
      <c r="D26">
        <v>2.5</v>
      </c>
      <c r="E26" s="37">
        <v>20</v>
      </c>
      <c r="F26" s="37">
        <f>D26*E26</f>
        <v>50</v>
      </c>
    </row>
    <row r="27" spans="2:6" ht="16.5" customHeight="1">
      <c r="B27" t="s">
        <v>99</v>
      </c>
      <c r="C27" s="72" t="s">
        <v>94</v>
      </c>
      <c r="D27">
        <v>2</v>
      </c>
      <c r="E27" s="37">
        <v>25</v>
      </c>
      <c r="F27" s="37">
        <f>D27*E27</f>
        <v>50</v>
      </c>
    </row>
    <row r="28" spans="2:6" ht="16.5" customHeight="1">
      <c r="B28" t="s">
        <v>100</v>
      </c>
      <c r="C28" s="73" t="s">
        <v>94</v>
      </c>
      <c r="D28" s="39">
        <v>1.5</v>
      </c>
      <c r="E28" s="40">
        <v>18</v>
      </c>
      <c r="F28" s="40">
        <f>D28*E28</f>
        <v>27</v>
      </c>
    </row>
    <row r="29" spans="3:6" ht="12.75">
      <c r="C29" s="75"/>
      <c r="E29" s="37"/>
      <c r="F29" s="43">
        <f>SUM(F26:F28)</f>
        <v>127</v>
      </c>
    </row>
    <row r="30" spans="2:6" ht="12.75">
      <c r="B30" s="175" t="s">
        <v>101</v>
      </c>
      <c r="C30" s="175"/>
      <c r="D30" s="175"/>
      <c r="E30" s="43">
        <f>'[1]Dati'!F34*'[1]scorte vive e morte'!F29</f>
        <v>1016</v>
      </c>
      <c r="F30" s="37"/>
    </row>
    <row r="32" ht="12.75">
      <c r="A32" s="71" t="s">
        <v>74</v>
      </c>
    </row>
    <row r="33" spans="2:6" ht="16.5" customHeight="1">
      <c r="B33" t="s">
        <v>93</v>
      </c>
      <c r="C33" s="72" t="s">
        <v>94</v>
      </c>
      <c r="D33">
        <v>2.5</v>
      </c>
      <c r="E33" s="37">
        <v>20</v>
      </c>
      <c r="F33" s="37">
        <f>D33*E33</f>
        <v>50</v>
      </c>
    </row>
    <row r="34" spans="2:6" ht="16.5" customHeight="1">
      <c r="B34" t="s">
        <v>99</v>
      </c>
      <c r="C34" s="72" t="s">
        <v>94</v>
      </c>
      <c r="D34">
        <v>2</v>
      </c>
      <c r="E34" s="37">
        <v>25</v>
      </c>
      <c r="F34" s="37">
        <f>D34*E34</f>
        <v>50</v>
      </c>
    </row>
    <row r="35" spans="2:8" ht="16.5" customHeight="1">
      <c r="B35" t="s">
        <v>102</v>
      </c>
      <c r="C35" s="73" t="s">
        <v>103</v>
      </c>
      <c r="D35" s="39">
        <v>1.5</v>
      </c>
      <c r="E35" s="40">
        <v>20</v>
      </c>
      <c r="F35" s="40">
        <f>D35*E35*33</f>
        <v>990</v>
      </c>
      <c r="H35" s="37"/>
    </row>
    <row r="36" spans="3:6" ht="12.75">
      <c r="C36" s="75"/>
      <c r="E36" s="37"/>
      <c r="F36" s="43">
        <f>SUM(F33:F35)</f>
        <v>1090</v>
      </c>
    </row>
    <row r="37" spans="2:6" ht="12.75">
      <c r="B37" s="72"/>
      <c r="C37" s="72"/>
      <c r="D37" s="72"/>
      <c r="E37" s="43"/>
      <c r="F37" s="37"/>
    </row>
  </sheetData>
  <mergeCells count="7">
    <mergeCell ref="A16:E16"/>
    <mergeCell ref="B24:D24"/>
    <mergeCell ref="B30:D30"/>
    <mergeCell ref="A3:A4"/>
    <mergeCell ref="B3:B4"/>
    <mergeCell ref="C3:C4"/>
    <mergeCell ref="D3:E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&amp;C&amp;"Arial,Corsivo"Bilancio azienda agraria</oddHeader>
    <oddFooter>&amp;CPagina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37"/>
  <sheetViews>
    <sheetView showGridLines="0" workbookViewId="0" topLeftCell="A1">
      <selection activeCell="B11" sqref="B11"/>
    </sheetView>
  </sheetViews>
  <sheetFormatPr defaultColWidth="9.140625" defaultRowHeight="12.75"/>
  <cols>
    <col min="1" max="1" width="3.57421875" style="0" bestFit="1" customWidth="1"/>
    <col min="2" max="2" width="29.421875" style="0" customWidth="1"/>
    <col min="3" max="3" width="11.7109375" style="0" customWidth="1"/>
    <col min="4" max="4" width="13.28125" style="0" customWidth="1"/>
    <col min="5" max="5" width="15.421875" style="0" customWidth="1"/>
    <col min="6" max="6" width="10.7109375" style="0" bestFit="1" customWidth="1"/>
  </cols>
  <sheetData>
    <row r="1" ht="20.25" customHeight="1">
      <c r="A1" s="76" t="s">
        <v>104</v>
      </c>
    </row>
    <row r="2" spans="1:5" ht="30" customHeight="1">
      <c r="A2" s="77" t="s">
        <v>3</v>
      </c>
      <c r="B2" s="78" t="s">
        <v>105</v>
      </c>
      <c r="C2" s="78" t="s">
        <v>81</v>
      </c>
      <c r="D2" s="78" t="s">
        <v>106</v>
      </c>
      <c r="E2" s="78" t="s">
        <v>107</v>
      </c>
    </row>
    <row r="3" spans="1:5" ht="15.75">
      <c r="A3" s="53">
        <v>1</v>
      </c>
      <c r="B3" s="5" t="s">
        <v>108</v>
      </c>
      <c r="C3" s="4"/>
      <c r="D3" s="79"/>
      <c r="E3" s="79">
        <f>'[1]scorte vive e morte'!E24+'[1]scorte vive e morte'!E30+'[1]scorte vive e morte'!F36</f>
        <v>5466</v>
      </c>
    </row>
    <row r="4" spans="1:6" ht="15.75">
      <c r="A4" s="53">
        <v>2</v>
      </c>
      <c r="B4" s="5" t="s">
        <v>109</v>
      </c>
      <c r="C4" s="80">
        <v>22.7</v>
      </c>
      <c r="D4" s="79">
        <v>46</v>
      </c>
      <c r="E4" s="79">
        <f>C4*D4</f>
        <v>1044.2</v>
      </c>
      <c r="F4" s="38"/>
    </row>
    <row r="5" spans="1:6" ht="15.75">
      <c r="A5" s="53"/>
      <c r="B5" s="5" t="s">
        <v>110</v>
      </c>
      <c r="C5" s="80">
        <v>4.8</v>
      </c>
      <c r="D5" s="79">
        <v>206</v>
      </c>
      <c r="E5" s="79">
        <f>C5*D5</f>
        <v>988.8</v>
      </c>
      <c r="F5" s="38"/>
    </row>
    <row r="6" spans="1:5" ht="15.75">
      <c r="A6" s="53"/>
      <c r="B6" s="5" t="s">
        <v>111</v>
      </c>
      <c r="C6" s="80">
        <v>28</v>
      </c>
      <c r="D6" s="79">
        <v>50</v>
      </c>
      <c r="E6" s="79">
        <f>C6*D6</f>
        <v>1400</v>
      </c>
    </row>
    <row r="7" spans="1:5" ht="15.75">
      <c r="A7" s="53">
        <v>3</v>
      </c>
      <c r="B7" s="5" t="s">
        <v>112</v>
      </c>
      <c r="C7" s="80">
        <v>33.3</v>
      </c>
      <c r="D7" s="79">
        <v>77.7</v>
      </c>
      <c r="E7" s="79">
        <f>C7*D7</f>
        <v>2587.41</v>
      </c>
    </row>
    <row r="8" spans="1:6" ht="15.75">
      <c r="A8" s="53">
        <v>4</v>
      </c>
      <c r="B8" s="5" t="s">
        <v>113</v>
      </c>
      <c r="C8" s="80"/>
      <c r="D8" s="79"/>
      <c r="E8" s="81">
        <v>7173.61</v>
      </c>
      <c r="F8" s="82"/>
    </row>
    <row r="9" spans="1:6" ht="15.75">
      <c r="A9" s="53">
        <v>5</v>
      </c>
      <c r="B9" s="5" t="s">
        <v>114</v>
      </c>
      <c r="C9" s="80"/>
      <c r="D9" s="79"/>
      <c r="E9" s="83">
        <v>3997.5</v>
      </c>
      <c r="F9" s="84"/>
    </row>
    <row r="10" spans="1:5" ht="15.75">
      <c r="A10" s="53"/>
      <c r="B10" s="5" t="s">
        <v>115</v>
      </c>
      <c r="C10" s="80">
        <v>130</v>
      </c>
      <c r="D10" s="79">
        <v>51.65</v>
      </c>
      <c r="E10" s="79">
        <f>C10*D10</f>
        <v>6714.5</v>
      </c>
    </row>
    <row r="11" spans="1:5" ht="15.75">
      <c r="A11" s="53"/>
      <c r="B11" s="5" t="s">
        <v>116</v>
      </c>
      <c r="C11" s="80">
        <v>130</v>
      </c>
      <c r="D11" s="79"/>
      <c r="E11" s="81">
        <f>2583*107/84</f>
        <v>3290.25</v>
      </c>
    </row>
    <row r="12" spans="1:6" ht="15.75">
      <c r="A12" s="53"/>
      <c r="B12" s="5" t="s">
        <v>117</v>
      </c>
      <c r="C12" s="54">
        <v>310</v>
      </c>
      <c r="D12" s="79">
        <v>62</v>
      </c>
      <c r="E12" s="79">
        <f>C12*D12</f>
        <v>19220</v>
      </c>
      <c r="F12" s="41"/>
    </row>
    <row r="13" spans="1:5" ht="15.75">
      <c r="A13" s="53">
        <v>6</v>
      </c>
      <c r="B13" s="5" t="s">
        <v>118</v>
      </c>
      <c r="C13" s="80">
        <v>480</v>
      </c>
      <c r="D13" s="79">
        <v>1.8</v>
      </c>
      <c r="E13" s="79">
        <f>C13*D13</f>
        <v>864</v>
      </c>
    </row>
    <row r="14" spans="1:5" ht="15.75">
      <c r="A14" s="53"/>
      <c r="B14" s="5" t="s">
        <v>119</v>
      </c>
      <c r="C14" s="85">
        <v>8400</v>
      </c>
      <c r="D14" s="79">
        <v>2</v>
      </c>
      <c r="E14" s="79">
        <f>C14*D14</f>
        <v>16800</v>
      </c>
    </row>
    <row r="15" spans="1:6" ht="31.5">
      <c r="A15" s="53">
        <v>7</v>
      </c>
      <c r="B15" s="5" t="s">
        <v>120</v>
      </c>
      <c r="C15" s="80">
        <v>2847</v>
      </c>
      <c r="D15" s="79">
        <v>23.25</v>
      </c>
      <c r="E15" s="79">
        <f>C15*D15</f>
        <v>66192.75</v>
      </c>
      <c r="F15" s="41"/>
    </row>
    <row r="16" spans="1:5" ht="15.75">
      <c r="A16" s="53">
        <v>8</v>
      </c>
      <c r="B16" s="5" t="s">
        <v>121</v>
      </c>
      <c r="C16" s="4"/>
      <c r="D16" s="79"/>
      <c r="E16" s="83">
        <f>2583*107/84</f>
        <v>3290.25</v>
      </c>
    </row>
    <row r="17" spans="1:5" ht="15.75">
      <c r="A17" s="53"/>
      <c r="B17" s="167" t="s">
        <v>122</v>
      </c>
      <c r="C17" s="176"/>
      <c r="D17" s="177"/>
      <c r="E17" s="86">
        <f>SUM(E3:E16)</f>
        <v>139029.27000000002</v>
      </c>
    </row>
    <row r="19" ht="15.75">
      <c r="A19" s="22" t="s">
        <v>123</v>
      </c>
    </row>
    <row r="20" spans="1:6" ht="21" customHeight="1">
      <c r="A20" s="87" t="s">
        <v>3</v>
      </c>
      <c r="B20" s="87" t="s">
        <v>105</v>
      </c>
      <c r="C20" s="87" t="s">
        <v>124</v>
      </c>
      <c r="D20" s="87" t="s">
        <v>125</v>
      </c>
      <c r="E20" s="87" t="s">
        <v>126</v>
      </c>
      <c r="F20" s="87" t="s">
        <v>71</v>
      </c>
    </row>
    <row r="21" spans="1:6" ht="25.5">
      <c r="A21" s="88">
        <v>1</v>
      </c>
      <c r="B21" s="89" t="s">
        <v>127</v>
      </c>
      <c r="C21" s="90" t="s">
        <v>128</v>
      </c>
      <c r="D21" s="51">
        <v>181000</v>
      </c>
      <c r="E21" s="12">
        <v>15</v>
      </c>
      <c r="F21" s="91">
        <f>D21/100*E21</f>
        <v>27150</v>
      </c>
    </row>
    <row r="22" spans="1:6" ht="38.25">
      <c r="A22" s="88">
        <v>2</v>
      </c>
      <c r="B22" s="89" t="s">
        <v>17</v>
      </c>
      <c r="C22" s="90" t="s">
        <v>129</v>
      </c>
      <c r="D22" s="51">
        <v>41320</v>
      </c>
      <c r="E22" s="12">
        <v>2</v>
      </c>
      <c r="F22" s="91">
        <f>D22/100*E22</f>
        <v>826.4</v>
      </c>
    </row>
    <row r="23" spans="1:6" ht="12.75">
      <c r="A23" s="88">
        <v>3</v>
      </c>
      <c r="B23" s="89" t="s">
        <v>28</v>
      </c>
      <c r="C23" s="88" t="s">
        <v>130</v>
      </c>
      <c r="D23" s="51"/>
      <c r="E23" s="92"/>
      <c r="F23" s="88"/>
    </row>
    <row r="24" spans="1:6" ht="12.75">
      <c r="A24" s="13"/>
      <c r="B24" s="178" t="s">
        <v>38</v>
      </c>
      <c r="C24" s="179"/>
      <c r="D24" s="179"/>
      <c r="E24" s="180"/>
      <c r="F24" s="93">
        <f>SUM(F21:F23)</f>
        <v>27976.4</v>
      </c>
    </row>
    <row r="26" ht="15.75">
      <c r="A26" s="22" t="s">
        <v>131</v>
      </c>
    </row>
    <row r="27" spans="1:5" ht="31.5">
      <c r="A27" s="87" t="s">
        <v>3</v>
      </c>
      <c r="B27" s="87" t="s">
        <v>105</v>
      </c>
      <c r="C27" s="87" t="s">
        <v>132</v>
      </c>
      <c r="D27" s="77" t="s">
        <v>133</v>
      </c>
      <c r="E27" s="77" t="s">
        <v>134</v>
      </c>
    </row>
    <row r="28" spans="1:6" ht="19.5" customHeight="1">
      <c r="A28" s="13">
        <v>1</v>
      </c>
      <c r="B28" s="13" t="s">
        <v>135</v>
      </c>
      <c r="C28" s="94">
        <v>18</v>
      </c>
      <c r="D28" s="47">
        <v>930</v>
      </c>
      <c r="E28" s="47">
        <f>C28*D28</f>
        <v>16740</v>
      </c>
      <c r="F28" s="41"/>
    </row>
    <row r="29" spans="1:5" ht="19.5" customHeight="1">
      <c r="A29" s="13">
        <v>2</v>
      </c>
      <c r="B29" s="13" t="s">
        <v>135</v>
      </c>
      <c r="C29" s="94">
        <v>18</v>
      </c>
      <c r="D29" s="47">
        <v>1085</v>
      </c>
      <c r="E29" s="47">
        <f>C29*D29</f>
        <v>19530</v>
      </c>
    </row>
    <row r="30" spans="1:5" ht="19.5" customHeight="1">
      <c r="A30" s="13">
        <v>3</v>
      </c>
      <c r="B30" s="13" t="s">
        <v>136</v>
      </c>
      <c r="C30" s="94">
        <v>126</v>
      </c>
      <c r="D30" s="47">
        <v>62</v>
      </c>
      <c r="E30" s="47">
        <f>C30*D30</f>
        <v>7812</v>
      </c>
    </row>
    <row r="31" spans="1:5" ht="19.5" customHeight="1">
      <c r="A31" s="13">
        <v>4</v>
      </c>
      <c r="B31" s="13" t="s">
        <v>137</v>
      </c>
      <c r="C31" s="94">
        <v>126</v>
      </c>
      <c r="D31" s="47">
        <v>83</v>
      </c>
      <c r="E31" s="47">
        <f>C31*D31</f>
        <v>10458</v>
      </c>
    </row>
    <row r="32" spans="1:5" ht="19.5" customHeight="1">
      <c r="A32" s="13"/>
      <c r="B32" s="178" t="s">
        <v>38</v>
      </c>
      <c r="C32" s="179"/>
      <c r="D32" s="180"/>
      <c r="E32" s="93">
        <f>SUM(E28:E31)</f>
        <v>54540</v>
      </c>
    </row>
    <row r="34" ht="15.75">
      <c r="A34" s="34" t="s">
        <v>138</v>
      </c>
    </row>
    <row r="35" ht="15.75">
      <c r="A35" s="25" t="s">
        <v>139</v>
      </c>
    </row>
    <row r="36" spans="3:5" ht="19.5" customHeight="1">
      <c r="C36" s="95" t="s">
        <v>140</v>
      </c>
      <c r="D36" s="95" t="s">
        <v>126</v>
      </c>
      <c r="E36" s="96"/>
    </row>
    <row r="37" spans="3:5" ht="19.5" customHeight="1">
      <c r="C37" s="97">
        <f>'[1]PLV'!H12</f>
        <v>246360</v>
      </c>
      <c r="D37" s="88">
        <v>6</v>
      </c>
      <c r="E37" s="97">
        <f>C37/100*D37</f>
        <v>14781.599999999999</v>
      </c>
    </row>
  </sheetData>
  <mergeCells count="3">
    <mergeCell ref="B17:D17"/>
    <mergeCell ref="B24:E24"/>
    <mergeCell ref="B32:D3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Header>&amp;C&amp;"Arial,Corsivo"Bilancio azienda agraria</oddHeader>
    <oddFooter>&amp;CPagina 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1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1.28125" style="0" customWidth="1"/>
    <col min="3" max="3" width="15.421875" style="0" customWidth="1"/>
    <col min="4" max="4" width="8.8515625" style="0" customWidth="1"/>
    <col min="5" max="5" width="6.7109375" style="0" customWidth="1"/>
    <col min="6" max="6" width="13.00390625" style="0" customWidth="1"/>
  </cols>
  <sheetData>
    <row r="1" spans="1:4" ht="30.75" customHeight="1">
      <c r="A1" s="22" t="s">
        <v>141</v>
      </c>
      <c r="B1" s="58"/>
      <c r="C1" s="58"/>
      <c r="D1" s="58"/>
    </row>
    <row r="3" spans="2:6" ht="15.75">
      <c r="B3" t="s">
        <v>142</v>
      </c>
      <c r="C3" s="98">
        <f>'[1]PLV'!H12*0.04</f>
        <v>9854.4</v>
      </c>
      <c r="D3" t="s">
        <v>143</v>
      </c>
      <c r="F3" s="41"/>
    </row>
    <row r="4" spans="2:3" ht="12.75">
      <c r="B4" t="s">
        <v>144</v>
      </c>
      <c r="C4" s="99">
        <f>'[1]ICI'!B22</f>
        <v>41.83433009859163</v>
      </c>
    </row>
    <row r="5" spans="2:3" ht="12.75">
      <c r="B5" s="42" t="s">
        <v>145</v>
      </c>
      <c r="C5" s="93">
        <f>SUM(C3:C4)</f>
        <v>9896.23433009859</v>
      </c>
    </row>
    <row r="6" ht="35.25" customHeight="1">
      <c r="A6" s="34" t="s">
        <v>146</v>
      </c>
    </row>
    <row r="8" spans="1:6" ht="31.5">
      <c r="A8" s="100" t="s">
        <v>3</v>
      </c>
      <c r="B8" s="101" t="s">
        <v>105</v>
      </c>
      <c r="C8" s="101" t="s">
        <v>125</v>
      </c>
      <c r="D8" s="101" t="s">
        <v>147</v>
      </c>
      <c r="E8" s="101" t="s">
        <v>126</v>
      </c>
      <c r="F8" s="101" t="s">
        <v>71</v>
      </c>
    </row>
    <row r="9" spans="1:6" ht="23.25" customHeight="1">
      <c r="A9" s="53">
        <v>1</v>
      </c>
      <c r="B9" s="5" t="s">
        <v>148</v>
      </c>
      <c r="C9" s="57">
        <f>'[1]scorte vive e morte'!E12</f>
        <v>3236687.3333333335</v>
      </c>
      <c r="D9" s="4">
        <v>12</v>
      </c>
      <c r="E9" s="4">
        <v>3</v>
      </c>
      <c r="F9" s="79">
        <f>C9/100*E9</f>
        <v>97100.62000000001</v>
      </c>
    </row>
    <row r="10" spans="1:6" ht="23.25" customHeight="1">
      <c r="A10" s="53">
        <v>2</v>
      </c>
      <c r="B10" s="5" t="s">
        <v>149</v>
      </c>
      <c r="C10" s="4"/>
      <c r="D10" s="4"/>
      <c r="E10" s="4"/>
      <c r="F10" s="79"/>
    </row>
    <row r="11" spans="1:6" ht="23.25" customHeight="1">
      <c r="A11" s="53"/>
      <c r="B11" s="5" t="s">
        <v>150</v>
      </c>
      <c r="C11" s="4"/>
      <c r="D11" s="4"/>
      <c r="E11" s="4"/>
      <c r="F11" s="79"/>
    </row>
    <row r="12" spans="1:6" ht="23.25" customHeight="1">
      <c r="A12" s="53"/>
      <c r="B12" s="5" t="s">
        <v>151</v>
      </c>
      <c r="C12" s="4"/>
      <c r="D12" s="4"/>
      <c r="E12" s="4"/>
      <c r="F12" s="79"/>
    </row>
    <row r="13" spans="1:6" ht="23.25" customHeight="1">
      <c r="A13" s="53"/>
      <c r="B13" s="5" t="s">
        <v>152</v>
      </c>
      <c r="C13" s="4"/>
      <c r="D13" s="4"/>
      <c r="E13" s="4"/>
      <c r="F13" s="79"/>
    </row>
    <row r="14" spans="1:6" ht="23.25" customHeight="1">
      <c r="A14" s="53"/>
      <c r="B14" s="5" t="s">
        <v>153</v>
      </c>
      <c r="C14" s="4"/>
      <c r="D14" s="4"/>
      <c r="E14" s="4"/>
      <c r="F14" s="79"/>
    </row>
    <row r="15" spans="1:6" ht="23.25" customHeight="1">
      <c r="A15" s="53"/>
      <c r="B15" s="5" t="s">
        <v>154</v>
      </c>
      <c r="C15" s="57">
        <f>'[1]Spese di produzione'!E17+'[1]Spese di produzione'!F24+'[1]Spese di produzione'!E32+'[1]Spese di produzione'!E37+C5</f>
        <v>246223.5043300986</v>
      </c>
      <c r="D15" s="4">
        <v>6</v>
      </c>
      <c r="E15" s="4">
        <v>3</v>
      </c>
      <c r="F15" s="79">
        <f>C15/100*E15/(12/6)</f>
        <v>3693.352564951479</v>
      </c>
    </row>
    <row r="16" spans="1:6" ht="23.25" customHeight="1">
      <c r="A16" s="53"/>
      <c r="B16" s="167" t="s">
        <v>155</v>
      </c>
      <c r="C16" s="181"/>
      <c r="D16" s="181"/>
      <c r="E16" s="182"/>
      <c r="F16" s="86">
        <f>SUM(F9:F15)</f>
        <v>100793.97256495149</v>
      </c>
    </row>
    <row r="18" ht="15.75">
      <c r="A18" s="25"/>
    </row>
  </sheetData>
  <mergeCells count="1">
    <mergeCell ref="B16:E16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Header>&amp;C&amp;"Arial,Corsivo"Bilancio azienda agraria</oddHeader>
    <oddFooter>&amp;CPagina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C22"/>
  <sheetViews>
    <sheetView showGridLines="0" workbookViewId="0" topLeftCell="A1">
      <selection activeCell="D4" sqref="D4"/>
    </sheetView>
  </sheetViews>
  <sheetFormatPr defaultColWidth="9.140625" defaultRowHeight="12.75"/>
  <cols>
    <col min="1" max="1" width="17.140625" style="0" customWidth="1"/>
    <col min="2" max="2" width="17.421875" style="0" bestFit="1" customWidth="1"/>
    <col min="5" max="5" width="16.57421875" style="0" bestFit="1" customWidth="1"/>
  </cols>
  <sheetData>
    <row r="1" ht="39.75" customHeight="1">
      <c r="A1" s="102" t="s">
        <v>156</v>
      </c>
    </row>
    <row r="3" spans="1:2" ht="12.75">
      <c r="A3" t="s">
        <v>157</v>
      </c>
      <c r="B3" s="103">
        <v>1136.2051779968704</v>
      </c>
    </row>
    <row r="4" spans="1:2" ht="12.75">
      <c r="A4" t="s">
        <v>158</v>
      </c>
      <c r="B4" s="103">
        <v>75</v>
      </c>
    </row>
    <row r="5" spans="1:2" ht="12.75">
      <c r="A5" t="s">
        <v>159</v>
      </c>
      <c r="B5" s="104">
        <f>B3*B4</f>
        <v>85215.38834976527</v>
      </c>
    </row>
    <row r="6" ht="12.75">
      <c r="B6" s="103"/>
    </row>
    <row r="7" spans="1:3" ht="12.75">
      <c r="A7" t="s">
        <v>160</v>
      </c>
      <c r="B7" s="103">
        <v>1</v>
      </c>
      <c r="C7" t="s">
        <v>161</v>
      </c>
    </row>
    <row r="8" spans="1:3" ht="12.75">
      <c r="A8" t="s">
        <v>162</v>
      </c>
      <c r="B8" s="103"/>
      <c r="C8" t="s">
        <v>163</v>
      </c>
    </row>
    <row r="9" ht="12.75">
      <c r="B9" s="103"/>
    </row>
    <row r="10" spans="1:2" ht="12.75">
      <c r="A10" t="s">
        <v>164</v>
      </c>
      <c r="B10" s="47">
        <f>IF(B7=0,0,B18)</f>
        <v>78243</v>
      </c>
    </row>
    <row r="11" ht="12.75">
      <c r="B11" s="103"/>
    </row>
    <row r="12" ht="12.75">
      <c r="B12" s="103"/>
    </row>
    <row r="13" spans="1:2" ht="12.75">
      <c r="A13" t="b">
        <f>AND(B5&gt;129.11)</f>
        <v>1</v>
      </c>
      <c r="B13" s="105">
        <f>IF(A13=TRUE,78243,0)</f>
        <v>78243</v>
      </c>
    </row>
    <row r="14" spans="1:2" ht="12.75">
      <c r="A14" t="b">
        <f>AND($B$5&gt;61.97,$B$5&lt;129.11)</f>
        <v>0</v>
      </c>
      <c r="B14" s="106">
        <f>IF(A14=TRUE,71788+($B$5-103291)*0.25,0)</f>
        <v>0</v>
      </c>
    </row>
    <row r="15" spans="1:2" ht="12.75">
      <c r="A15" t="b">
        <f>AND($B$5&gt;120000000,$B$5&lt;103.29)</f>
        <v>0</v>
      </c>
      <c r="B15" s="106">
        <f>IF(A15=TRUE,51129+($B$5-61975)*0.5,0)</f>
        <v>0</v>
      </c>
    </row>
    <row r="16" spans="1:2" ht="12.75">
      <c r="A16" t="b">
        <f>AND($B$5&gt;25.82,$B$5&lt;61.97)</f>
        <v>0</v>
      </c>
      <c r="B16" s="106">
        <f>IF(A16=TRUE,25823+($B$5-25823)*0.7,0)</f>
        <v>0</v>
      </c>
    </row>
    <row r="17" spans="1:2" ht="12.75">
      <c r="A17" t="b">
        <f>AND($B$5&lt;25.82)</f>
        <v>0</v>
      </c>
      <c r="B17" s="106">
        <f>IF(A17=TRUE,B5,0)</f>
        <v>0</v>
      </c>
    </row>
    <row r="18" ht="12.75">
      <c r="B18" s="107">
        <f>SUM(B13:B17)</f>
        <v>78243</v>
      </c>
    </row>
    <row r="19" ht="12.75">
      <c r="B19" s="37"/>
    </row>
    <row r="20" spans="1:2" ht="12.75">
      <c r="A20" s="108" t="s">
        <v>165</v>
      </c>
      <c r="B20" s="47">
        <f>B5-B10</f>
        <v>6972.388349765271</v>
      </c>
    </row>
    <row r="21" spans="1:2" ht="12.75">
      <c r="A21" s="108" t="s">
        <v>166</v>
      </c>
      <c r="B21" s="37">
        <v>0.006</v>
      </c>
    </row>
    <row r="22" spans="1:2" ht="12.75">
      <c r="A22" s="108" t="s">
        <v>167</v>
      </c>
      <c r="B22" s="109">
        <f>B20*B21</f>
        <v>41.83433009859163</v>
      </c>
    </row>
  </sheetData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2"/>
  <headerFooter alignWithMargins="0">
    <oddHeader>&amp;C&amp;"Arial,Corsivo"Bilancio azienda agraria</oddHeader>
    <oddFooter>&amp;CPagina &amp;P&amp;R&amp;A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F16"/>
  <sheetViews>
    <sheetView showGridLines="0" workbookViewId="0" topLeftCell="A11">
      <selection activeCell="A5" sqref="A5"/>
    </sheetView>
  </sheetViews>
  <sheetFormatPr defaultColWidth="9.140625" defaultRowHeight="12.75"/>
  <cols>
    <col min="2" max="3" width="17.8515625" style="0" bestFit="1" customWidth="1"/>
    <col min="4" max="4" width="23.28125" style="0" customWidth="1"/>
    <col min="5" max="5" width="10.00390625" style="0" bestFit="1" customWidth="1"/>
  </cols>
  <sheetData>
    <row r="1" ht="15.75">
      <c r="A1" s="34" t="s">
        <v>168</v>
      </c>
    </row>
    <row r="2" ht="15.75">
      <c r="A2" s="110"/>
    </row>
    <row r="3" ht="15.75">
      <c r="A3" s="35" t="s">
        <v>169</v>
      </c>
    </row>
    <row r="4" ht="16.5" thickBot="1">
      <c r="A4" s="110"/>
    </row>
    <row r="5" spans="1:4" ht="32.25" customHeight="1" thickBot="1" thickTop="1">
      <c r="A5" t="s">
        <v>31</v>
      </c>
      <c r="B5" s="111" t="s">
        <v>140</v>
      </c>
      <c r="C5" s="112" t="s">
        <v>170</v>
      </c>
      <c r="D5" s="113" t="s">
        <v>171</v>
      </c>
    </row>
    <row r="6" spans="1:4" ht="33.75" customHeight="1" thickBot="1">
      <c r="A6" s="114" t="s">
        <v>172</v>
      </c>
      <c r="B6" s="115">
        <f>'[1]PLV'!H12</f>
        <v>246360</v>
      </c>
      <c r="C6" s="116">
        <f>'[1]Spese di produzione'!E17+'[1]Spese di produzione'!F24+'[1]Spese di produzione'!E32+'[1]Spese di produzione'!E37+'[1]Impo. BI'!C3+'[1]Impo. BI'!F16</f>
        <v>346975.6425649515</v>
      </c>
      <c r="D6" s="117">
        <f>B6-C6</f>
        <v>-100615.6425649515</v>
      </c>
    </row>
    <row r="7" ht="13.5" thickTop="1"/>
    <row r="10" ht="12.75">
      <c r="A10" s="42" t="s">
        <v>173</v>
      </c>
    </row>
    <row r="11" ht="13.5" thickBot="1"/>
    <row r="12" spans="2:4" ht="14.25" thickBot="1" thickTop="1">
      <c r="B12" s="111" t="s">
        <v>140</v>
      </c>
      <c r="C12" s="112" t="s">
        <v>170</v>
      </c>
      <c r="D12" s="113" t="s">
        <v>174</v>
      </c>
    </row>
    <row r="13" spans="1:4" ht="21" thickBot="1">
      <c r="A13" s="118" t="s">
        <v>175</v>
      </c>
      <c r="B13" s="115">
        <f>'[1]PLV'!H12</f>
        <v>246360</v>
      </c>
      <c r="C13" s="116">
        <f>'[1]Spese di produzione'!F24+'[1]Spese di produzione'!E17+'[1]Impo. BI'!C5</f>
        <v>176901.9043300986</v>
      </c>
      <c r="D13" s="119">
        <f>B13-C13</f>
        <v>69458.0956699014</v>
      </c>
    </row>
    <row r="14" ht="13.5" thickTop="1"/>
    <row r="15" spans="1:6" ht="45" customHeight="1">
      <c r="A15" s="183" t="s">
        <v>176</v>
      </c>
      <c r="B15" s="184"/>
      <c r="C15" s="184"/>
      <c r="D15" s="184"/>
      <c r="E15" s="184"/>
      <c r="F15" s="120"/>
    </row>
    <row r="16" spans="1:4" ht="51.75" customHeight="1">
      <c r="A16" s="185" t="s">
        <v>177</v>
      </c>
      <c r="B16" s="185"/>
      <c r="C16" s="186"/>
      <c r="D16" s="121"/>
    </row>
  </sheetData>
  <mergeCells count="2">
    <mergeCell ref="A15:E15"/>
    <mergeCell ref="A16:C16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Header>&amp;C&amp;"Arial,Corsivo"Bilancio azienda agraria</oddHeader>
    <oddFooter>&amp;CPagina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Agrario San Benedetto</dc:creator>
  <cp:keywords/>
  <dc:description/>
  <cp:lastModifiedBy>Ist. Agrario San Benedetto</cp:lastModifiedBy>
  <cp:lastPrinted>2002-11-15T11:20:07Z</cp:lastPrinted>
  <dcterms:created xsi:type="dcterms:W3CDTF">2002-11-15T09:22:58Z</dcterms:created>
  <dcterms:modified xsi:type="dcterms:W3CDTF">2002-11-15T11:49:04Z</dcterms:modified>
  <cp:category/>
  <cp:version/>
  <cp:contentType/>
  <cp:contentStatus/>
</cp:coreProperties>
</file>